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rOHCfALy4gRhC5V4E5uxBw0wjuSiokd0jQn55RJdR7qKi3aCJAdBDEuOaEnpCyBjPXB4JuwNHJvCwFmH1uGxw==" workbookSaltValue="x1Rb5GWymZwDy8d+IAtp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F17" i="8" l="1"/>
  <c r="L17" i="14"/>
  <c r="T31" i="8"/>
  <c r="F28" i="2"/>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L17" i="2"/>
  <c r="AA11" i="16"/>
  <c r="L9" i="2"/>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<sst xmlns="http://schemas.openxmlformats.org/spreadsheetml/2006/main" count="2682" uniqueCount="1193">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</sst>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fa6l1kTb7XgYRQx3pyQhNMmPEXRanNngc4joKP4rkmoh3k1/OeeSXDREqsuEyYaIwpGI5SwtZECocaap1Yw==" saltValue="FiVdDQqBrHeCOp9eb/vQ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40.925465838509318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461</v>
      </c>
      <c r="D17" s="239">
        <f>IF(ISNUMBER(IF(D_I="SI",Datos!I17,Datos!I17+Datos!AC17)),IF(D_I="SI",Datos!I17,Datos!I17+Datos!AC17)," - ")</f>
        <v>457</v>
      </c>
      <c r="E17" s="240">
        <f>IF(ISNUMBER(IF(D_I="SI",Datos!J17,Datos!J17+Datos!AD17)),IF(D_I="SI",Datos!J17,Datos!J17+Datos!AD17)," - ")</f>
        <v>277</v>
      </c>
      <c r="F17" s="240">
        <f>IF(ISNUMBER(IF(D_I="SI",Datos!K17,Datos!K17+Datos!AE17)),IF(D_I="SI",Datos!K17,Datos!K17+Datos!AE17)," - ")</f>
        <v>233</v>
      </c>
      <c r="G17" s="1390" t="str">
        <f>IF(Datos!E17&lt;&gt;"",Datos!E17,Datos!D17)</f>
        <v>04</v>
      </c>
      <c r="H17" s="241">
        <f>IF(ISNUMBER(IF(D_I="SI",Datos!L17,Datos!L17+Datos!AF17)),IF(D_I="SI",Datos!L17,Datos!L17+Datos!AF17)," - ")</f>
        <v>505</v>
      </c>
      <c r="I17" s="1400" t="str">
        <f>IF(ISNUMBER(Datos!AS17/Datos!BM17),Datos!AS17/Datos!BM17," - ")</f>
        <v xml:space="preserve"> - </v>
      </c>
      <c r="J17" s="1401">
        <f>IF(ISNUMBER(Datos!BY17/Datos!CN17),Datos!BY17/Datos!CN17," - ")</f>
        <v>0</v>
      </c>
      <c r="K17" s="244">
        <f t="shared" si="3"/>
        <v>9.5444685466377438E-2</v>
      </c>
      <c r="L17" s="1402">
        <f>IF(ISNUMBER(NºAsuntos!I17/NºAsuntos!G17),(NºAsuntos!I17/NºAsuntos!G17)*11," - ")</f>
        <v>23.841201716738198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29</v>
      </c>
      <c r="F18" s="240">
        <f>IF(ISNUMBER(IF(D_I="SI",Datos!K18,Datos!K18+Datos!AE18)),IF(D_I="SI",Datos!K18,Datos!K18+Datos!AE18)," - ")</f>
        <v>22</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0.15909090909090909</v>
      </c>
      <c r="L18" s="1402">
        <f>IF(ISNUMBER(NºAsuntos!I18/NºAsuntos!G18),(NºAsuntos!I18/NºAsuntos!G18)*11," - ")</f>
        <v>25.5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505</v>
      </c>
      <c r="D23" s="1407">
        <f>SUBTOTAL(9,D16:D22)</f>
        <v>501</v>
      </c>
      <c r="E23" s="1408">
        <f>SUBTOTAL(9,E16:E22)</f>
        <v>306</v>
      </c>
      <c r="F23" s="1408">
        <f>SUBTOTAL(9,F16:F22)</f>
        <v>255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512</v>
      </c>
      <c r="D31" s="1435">
        <f>SUBTOTAL(9,D9:D30)</f>
        <v>508</v>
      </c>
      <c r="E31" s="1436">
        <f>SUBTOTAL(9,E9:E30)</f>
        <v>308</v>
      </c>
      <c r="F31" s="1436">
        <f>SUBTOTAL(9,F9:F30)</f>
        <v>259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lotsf+p6ESEEiaVdsbVlV6XBP972QPq3+pwsCqjmOLY0Xm1j8ULk95bSIkJ69nsiYB0C0tU6HagoAgYcGK+kg==" saltValue="wRLINB/EKM24zjkaNuBN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O7lNDrcHJvcDX3oJh9mXTpQ35OlkfTxJqp1B2XM4Sl/OhxfyTiYQMm2kz0DUHZfNyuszxc4BZI4SYOysF8w3A==" saltValue="RceZdD4DslcPCmrWq6Cd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4</v>
      </c>
      <c r="L10" s="194">
        <v>5</v>
      </c>
      <c r="M10" s="194">
        <v>0</v>
      </c>
      <c r="N10" s="194">
        <v>1</v>
      </c>
      <c r="O10" s="194">
        <v>2</v>
      </c>
      <c r="P10" s="194">
        <v>0</v>
      </c>
      <c r="Q10" s="194">
        <v>14</v>
      </c>
      <c r="R10" s="194">
        <v>18</v>
      </c>
      <c r="S10" s="194">
        <v>13</v>
      </c>
      <c r="T10" s="194">
        <v>4</v>
      </c>
      <c r="U10" s="194">
        <v>7</v>
      </c>
      <c r="V10" s="194">
        <v>10</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4</v>
      </c>
      <c r="BA10" s="139">
        <f t="shared" si="0"/>
        <v>7</v>
      </c>
      <c r="BB10" s="139">
        <f t="shared" si="0"/>
        <v>10</v>
      </c>
      <c r="BC10" s="135">
        <f t="shared" si="0"/>
        <v>3</v>
      </c>
      <c r="BD10" s="136">
        <f>IF(ISNUMBER(BA10/AZ10),BA10/AZ10," - ")</f>
        <v>1.75</v>
      </c>
      <c r="BE10" s="137">
        <f>IF(ISNUMBER(BB10/BA10),BB10/BA10, " - ")</f>
        <v>1.4285714285714286</v>
      </c>
      <c r="BF10" s="137">
        <f>IF(ISNUMBER(BC10/BA10),BC10/BA10, " - ")</f>
        <v>0.42857142857142855</v>
      </c>
      <c r="BG10" s="209">
        <f>IF(ISNUMBER((AY10+AZ10)/BA10),(AY10+AZ10)/BA10," - ")</f>
        <v>2.4285714285714284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1113</v>
      </c>
      <c r="J12" s="196">
        <v>371</v>
      </c>
      <c r="K12" s="196">
        <v>313</v>
      </c>
      <c r="L12" s="196">
        <v>1171</v>
      </c>
      <c r="M12" s="196">
        <v>53</v>
      </c>
      <c r="N12" s="196">
        <v>112</v>
      </c>
      <c r="O12" s="194">
        <v>189</v>
      </c>
      <c r="P12" s="196">
        <v>94</v>
      </c>
      <c r="Q12" s="196">
        <v>301</v>
      </c>
      <c r="R12" s="196">
        <v>1983</v>
      </c>
      <c r="S12" s="196">
        <v>1035</v>
      </c>
      <c r="T12" s="196">
        <v>333</v>
      </c>
      <c r="U12" s="196">
        <v>351</v>
      </c>
      <c r="V12" s="196">
        <v>1017</v>
      </c>
      <c r="W12" s="196">
        <v>77</v>
      </c>
      <c r="X12" s="202">
        <v>110</v>
      </c>
      <c r="Y12" s="204">
        <v>23</v>
      </c>
      <c r="Z12" s="194">
        <v>13</v>
      </c>
      <c r="AA12" s="194">
        <v>9</v>
      </c>
      <c r="AB12" s="194">
        <v>27</v>
      </c>
      <c r="AC12" s="196">
        <v>0</v>
      </c>
      <c r="AD12" s="196">
        <v>0</v>
      </c>
      <c r="AE12" s="196">
        <v>0</v>
      </c>
      <c r="AF12" s="202">
        <v>0</v>
      </c>
      <c r="AG12" s="215">
        <v>28</v>
      </c>
      <c r="AH12" s="196">
        <v>13</v>
      </c>
      <c r="AI12" s="196">
        <v>12</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1063</v>
      </c>
      <c r="AZ12" s="137">
        <f t="shared" si="1"/>
        <v>346</v>
      </c>
      <c r="BA12" s="137">
        <f t="shared" si="1"/>
        <v>363</v>
      </c>
      <c r="BB12" s="137">
        <f t="shared" si="1"/>
        <v>1046</v>
      </c>
      <c r="BC12" s="135">
        <f>IF(ISNUMBER(X12),X12," - ")</f>
        <v>110</v>
      </c>
      <c r="BD12" s="136">
        <f t="shared" si="2"/>
        <v>1.0491329479768785</v>
      </c>
      <c r="BE12" s="137">
        <f t="shared" si="3"/>
        <v>2.8815426997245179</v>
      </c>
      <c r="BF12" s="137">
        <f t="shared" si="4"/>
        <v>0.30303030303030304</v>
      </c>
      <c r="BG12" s="209">
        <f t="shared" si="5"/>
        <v>3.8815426997245179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1120</v>
      </c>
      <c r="J14" s="197">
        <f t="shared" si="7"/>
        <v>373</v>
      </c>
      <c r="K14" s="197">
        <f t="shared" si="7"/>
        <v>317</v>
      </c>
      <c r="L14" s="197">
        <f t="shared" si="7"/>
        <v>1176</v>
      </c>
      <c r="M14" s="197">
        <f t="shared" si="7"/>
        <v>53</v>
      </c>
      <c r="N14" s="197">
        <f t="shared" si="7"/>
        <v>113</v>
      </c>
      <c r="O14" s="197">
        <f t="shared" si="7"/>
        <v>191</v>
      </c>
      <c r="P14" s="197">
        <f t="shared" si="7"/>
        <v>94</v>
      </c>
      <c r="Q14" s="197">
        <f t="shared" si="7"/>
        <v>315</v>
      </c>
      <c r="R14" s="197">
        <f t="shared" si="7"/>
        <v>2001</v>
      </c>
      <c r="S14" s="197">
        <f t="shared" si="7"/>
        <v>1048</v>
      </c>
      <c r="T14" s="197">
        <f t="shared" si="7"/>
        <v>337</v>
      </c>
      <c r="U14" s="197">
        <f t="shared" si="7"/>
        <v>358</v>
      </c>
      <c r="V14" s="197">
        <f t="shared" si="7"/>
        <v>1027</v>
      </c>
      <c r="W14" s="197">
        <f t="shared" si="7"/>
        <v>80</v>
      </c>
      <c r="X14" s="197">
        <f t="shared" si="7"/>
        <v>112</v>
      </c>
      <c r="Y14" s="197">
        <f t="shared" si="7"/>
        <v>23</v>
      </c>
      <c r="Z14" s="197">
        <f t="shared" si="7"/>
        <v>13</v>
      </c>
      <c r="AA14" s="197">
        <f t="shared" si="7"/>
        <v>9</v>
      </c>
      <c r="AB14" s="197">
        <f t="shared" si="7"/>
        <v>27</v>
      </c>
      <c r="AC14" s="197">
        <f t="shared" si="7"/>
        <v>0</v>
      </c>
      <c r="AD14" s="197">
        <f t="shared" si="7"/>
        <v>0</v>
      </c>
      <c r="AE14" s="197">
        <f t="shared" si="7"/>
        <v>0</v>
      </c>
      <c r="AF14" s="197">
        <f>SUBTOTAL(9,AF9:AF13)</f>
        <v>0</v>
      </c>
      <c r="AG14" s="197">
        <f t="shared" ref="AG14:AT14" si="8">SUBTOTAL(9,AG8:AG13)</f>
        <v>28</v>
      </c>
      <c r="AH14" s="197">
        <f t="shared" si="8"/>
        <v>13</v>
      </c>
      <c r="AI14" s="197">
        <f t="shared" si="8"/>
        <v>12</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1076</v>
      </c>
      <c r="AZ14" s="197">
        <f>SUBTOTAL(9,AZ8:AZ13)</f>
        <v>350</v>
      </c>
      <c r="BA14" s="197">
        <f>SUBTOTAL(9,BA8:BA13)</f>
        <v>370</v>
      </c>
      <c r="BB14" s="197">
        <f>SUBTOTAL(9,BB8:BB13)</f>
        <v>1056</v>
      </c>
      <c r="BC14" s="197">
        <f>SUBTOTAL(9,BC8:BC13)</f>
        <v>113</v>
      </c>
      <c r="BD14" s="219">
        <f>IF(ISNUMBER(BA14/AZ14),BA14/AZ14," - ")</f>
        <v>1.0571428571428572</v>
      </c>
      <c r="BE14" s="220">
        <f>IF(ISNUMBER(BB14/BA14),BB14/BA14, " - ")</f>
        <v>2.8540540540540542</v>
      </c>
      <c r="BF14" s="220">
        <f>IF(ISNUMBER(BC14/BA14),BC14/BA14, " - ")</f>
        <v>0.30540540540540539</v>
      </c>
      <c r="BG14" s="221">
        <f>IF(ISNUMBER((AY14+AZ14)/BA14),(AY14+AZ14)/BA14," - ")</f>
        <v>3.8540540540540542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457</v>
      </c>
      <c r="J17" s="196">
        <v>277</v>
      </c>
      <c r="K17" s="196">
        <v>233</v>
      </c>
      <c r="L17" s="196">
        <v>505</v>
      </c>
      <c r="M17" s="196">
        <v>38</v>
      </c>
      <c r="N17" s="196">
        <v>138</v>
      </c>
      <c r="O17" s="194">
        <v>0</v>
      </c>
      <c r="P17" s="196">
        <v>0</v>
      </c>
      <c r="Q17" s="196">
        <v>6</v>
      </c>
      <c r="R17" s="196">
        <v>64</v>
      </c>
      <c r="S17" s="196">
        <v>435</v>
      </c>
      <c r="T17" s="196">
        <v>276</v>
      </c>
      <c r="U17" s="196">
        <v>302</v>
      </c>
      <c r="V17" s="196">
        <v>414</v>
      </c>
      <c r="W17" s="196">
        <v>38</v>
      </c>
      <c r="X17" s="202">
        <v>168</v>
      </c>
      <c r="Y17" s="215">
        <v>0</v>
      </c>
      <c r="Z17" s="196">
        <v>0</v>
      </c>
      <c r="AA17" s="196">
        <v>0</v>
      </c>
      <c r="AB17" s="196">
        <v>0</v>
      </c>
      <c r="AC17" s="196">
        <v>0</v>
      </c>
      <c r="AD17" s="196">
        <v>5</v>
      </c>
      <c r="AE17" s="196">
        <v>5</v>
      </c>
      <c r="AF17" s="202">
        <v>0</v>
      </c>
      <c r="AG17" s="215">
        <v>0</v>
      </c>
      <c r="AH17" s="196">
        <v>0</v>
      </c>
      <c r="AI17" s="196">
        <v>0</v>
      </c>
      <c r="AJ17" s="216">
        <v>0</v>
      </c>
      <c r="AK17" s="195">
        <v>0</v>
      </c>
      <c r="AL17" s="196">
        <v>12</v>
      </c>
      <c r="AM17" s="196">
        <v>12</v>
      </c>
      <c r="AN17" s="202">
        <v>0</v>
      </c>
      <c r="AO17" s="283">
        <v>2</v>
      </c>
      <c r="AP17" s="168">
        <v>2</v>
      </c>
      <c r="AQ17" s="168">
        <v>2</v>
      </c>
      <c r="AR17" s="168">
        <v>2</v>
      </c>
      <c r="AS17" s="381" t="s">
        <v>650</v>
      </c>
      <c r="AT17" s="216"/>
      <c r="AU17" s="215"/>
      <c r="AV17" s="216"/>
      <c r="AW17" s="215"/>
      <c r="AX17" s="216"/>
      <c r="AY17" s="136">
        <f t="shared" si="10"/>
        <v>435</v>
      </c>
      <c r="AZ17" s="137">
        <f t="shared" si="10"/>
        <v>276</v>
      </c>
      <c r="BA17" s="137">
        <f t="shared" si="10"/>
        <v>302</v>
      </c>
      <c r="BB17" s="137">
        <f t="shared" si="10"/>
        <v>414</v>
      </c>
      <c r="BC17" s="135">
        <f>IF(ISNUMBER(W17),W17," - ")</f>
        <v>38</v>
      </c>
      <c r="BD17" s="136">
        <f t="shared" ref="BD17:BD22" si="12">IF(ISNUMBER(BA17/AZ17),BA17/AZ17," - ")</f>
        <v>1.0942028985507246</v>
      </c>
      <c r="BE17" s="137">
        <f t="shared" ref="BE17:BE22" si="13">IF(ISNUMBER(BB17/BA17),BB17/BA17, " - ")</f>
        <v>1.3708609271523178</v>
      </c>
      <c r="BF17" s="137">
        <f t="shared" ref="BF17:BF22" si="14">IF(ISNUMBER(BC17/BA17),BC17/BA17, " - ")</f>
        <v>0.12582781456953643</v>
      </c>
      <c r="BG17" s="209">
        <f t="shared" si="11"/>
        <v>2.3543046357615895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29</v>
      </c>
      <c r="K18" s="196">
        <v>22</v>
      </c>
      <c r="L18" s="196">
        <v>51</v>
      </c>
      <c r="M18" s="196">
        <v>2</v>
      </c>
      <c r="N18" s="196">
        <v>13</v>
      </c>
      <c r="O18" s="196">
        <v>0</v>
      </c>
      <c r="P18" s="196">
        <v>0</v>
      </c>
      <c r="Q18" s="196">
        <v>0</v>
      </c>
      <c r="R18" s="196">
        <v>0</v>
      </c>
      <c r="S18" s="196">
        <v>58</v>
      </c>
      <c r="T18" s="196">
        <v>33</v>
      </c>
      <c r="U18" s="196">
        <v>39</v>
      </c>
      <c r="V18" s="196">
        <v>53</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33</v>
      </c>
      <c r="BA18" s="139">
        <f t="shared" si="15"/>
        <v>39</v>
      </c>
      <c r="BB18" s="139">
        <f t="shared" si="15"/>
        <v>53</v>
      </c>
      <c r="BC18" s="135">
        <f>IF(ISNUMBER(W18),W18," - ")</f>
        <v>1</v>
      </c>
      <c r="BD18" s="136">
        <f>IF(ISNUMBER(BA18/AZ18),BA18/AZ18," - ")</f>
        <v>1.1818181818181819</v>
      </c>
      <c r="BE18" s="137">
        <f>IF(ISNUMBER(BB18/BA18),BB18/BA18, " - ")</f>
        <v>1.358974358974359</v>
      </c>
      <c r="BF18" s="137">
        <f>IF(ISNUMBER(BC18/BA18),BC18/BA18, " - ")</f>
        <v>2.564102564102564E-2</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501</v>
      </c>
      <c r="J23" s="197">
        <f t="shared" si="21"/>
        <v>306</v>
      </c>
      <c r="K23" s="197">
        <f t="shared" si="21"/>
        <v>255</v>
      </c>
      <c r="L23" s="197">
        <f t="shared" si="21"/>
        <v>556</v>
      </c>
      <c r="M23" s="197">
        <f t="shared" si="21"/>
        <v>40</v>
      </c>
      <c r="N23" s="197">
        <f t="shared" si="21"/>
        <v>151</v>
      </c>
      <c r="O23" s="197">
        <f t="shared" si="21"/>
        <v>0</v>
      </c>
      <c r="P23" s="197">
        <f t="shared" si="21"/>
        <v>0</v>
      </c>
      <c r="Q23" s="197">
        <f t="shared" si="21"/>
        <v>6</v>
      </c>
      <c r="R23" s="197">
        <f t="shared" si="21"/>
        <v>64</v>
      </c>
      <c r="S23" s="197">
        <f t="shared" si="21"/>
        <v>493</v>
      </c>
      <c r="T23" s="197">
        <f t="shared" si="21"/>
        <v>309</v>
      </c>
      <c r="U23" s="197">
        <f t="shared" si="21"/>
        <v>341</v>
      </c>
      <c r="V23" s="197">
        <f t="shared" si="21"/>
        <v>467</v>
      </c>
      <c r="W23" s="197">
        <f t="shared" si="21"/>
        <v>39</v>
      </c>
      <c r="X23" s="197">
        <f t="shared" si="21"/>
        <v>187</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12</v>
      </c>
      <c r="AM23" s="197">
        <f t="shared" si="21"/>
        <v>12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493</v>
      </c>
      <c r="AZ23" s="197">
        <f>SUBTOTAL(9,AZ15:AZ22)</f>
        <v>309</v>
      </c>
      <c r="BA23" s="197">
        <f>SUBTOTAL(9,BA15:BA22)</f>
        <v>341</v>
      </c>
      <c r="BB23" s="197">
        <f>SUBTOTAL(9,BB15:BB22)</f>
        <v>467</v>
      </c>
      <c r="BC23" s="197">
        <f>SUBTOTAL(9,BC15:BC22)</f>
        <v>39</v>
      </c>
      <c r="BD23" s="219">
        <f>IF(ISNUMBER(BA23/AZ23),BA23/AZ23," - ")</f>
        <v>1.1035598705501619</v>
      </c>
      <c r="BE23" s="220">
        <f>IF(ISNUMBER(BB23/BA23),BB23/BA23, " - ")</f>
        <v>1.3695014662756597</v>
      </c>
      <c r="BF23" s="220">
        <f>IF(ISNUMBER(BC23/BA23),BC23/BA23, " - ")</f>
        <v>0.11436950146627566</v>
      </c>
      <c r="BG23" s="221">
        <f>IF(ISNUMBER((AY23+AZ23)/BA23),(AY23+AZ23)/BA23," - ")</f>
        <v>2.3519061583577714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1621</v>
      </c>
      <c r="J31" s="144">
        <f t="shared" si="36"/>
        <v>679</v>
      </c>
      <c r="K31" s="144">
        <f t="shared" si="36"/>
        <v>572</v>
      </c>
      <c r="L31" s="144">
        <f t="shared" si="36"/>
        <v>1732</v>
      </c>
      <c r="M31" s="144">
        <f t="shared" si="36"/>
        <v>93</v>
      </c>
      <c r="N31" s="144">
        <f t="shared" si="36"/>
        <v>264</v>
      </c>
      <c r="O31" s="144">
        <f t="shared" si="36"/>
        <v>191</v>
      </c>
      <c r="P31" s="144">
        <f t="shared" si="36"/>
        <v>94</v>
      </c>
      <c r="Q31" s="144">
        <f t="shared" si="36"/>
        <v>321</v>
      </c>
      <c r="R31" s="144">
        <f t="shared" si="36"/>
        <v>2065</v>
      </c>
      <c r="S31" s="144">
        <f t="shared" si="36"/>
        <v>1541</v>
      </c>
      <c r="T31" s="144">
        <f t="shared" si="36"/>
        <v>646</v>
      </c>
      <c r="U31" s="144">
        <f t="shared" si="36"/>
        <v>699</v>
      </c>
      <c r="V31" s="144">
        <f t="shared" si="36"/>
        <v>1494</v>
      </c>
      <c r="W31" s="144">
        <f t="shared" si="36"/>
        <v>119</v>
      </c>
      <c r="X31" s="144">
        <f t="shared" si="36"/>
        <v>299</v>
      </c>
      <c r="Y31" s="144">
        <f t="shared" si="36"/>
        <v>23</v>
      </c>
      <c r="Z31" s="144">
        <f t="shared" si="36"/>
        <v>13</v>
      </c>
      <c r="AA31" s="144">
        <f t="shared" si="36"/>
        <v>9</v>
      </c>
      <c r="AB31" s="144">
        <f t="shared" si="36"/>
        <v>27</v>
      </c>
      <c r="AC31" s="144">
        <f t="shared" si="36"/>
        <v>0</v>
      </c>
      <c r="AD31" s="144">
        <f t="shared" si="36"/>
        <v>5</v>
      </c>
      <c r="AE31" s="144">
        <f t="shared" si="36"/>
        <v>5</v>
      </c>
      <c r="AF31" s="144">
        <f t="shared" si="36"/>
        <v>0</v>
      </c>
      <c r="AG31" s="144">
        <f t="shared" si="36"/>
        <v>28</v>
      </c>
      <c r="AH31" s="144">
        <f t="shared" si="36"/>
        <v>13</v>
      </c>
      <c r="AI31" s="144">
        <f t="shared" si="36"/>
        <v>12</v>
      </c>
      <c r="AJ31" s="144">
        <f t="shared" si="36"/>
        <v>29</v>
      </c>
      <c r="AK31" s="144">
        <f t="shared" si="36"/>
        <v>0</v>
      </c>
      <c r="AL31" s="144">
        <f t="shared" si="36"/>
        <v>12</v>
      </c>
      <c r="AM31" s="144">
        <f t="shared" si="36"/>
        <v>12</v>
      </c>
      <c r="AN31" s="224">
        <f t="shared" si="36"/>
        <v>0</v>
      </c>
      <c r="AO31" s="225">
        <v>3</v>
      </c>
      <c r="AP31" s="225">
        <v>2</v>
      </c>
      <c r="AQ31" s="225">
        <v>2</v>
      </c>
      <c r="AR31" s="225">
        <v>2</v>
      </c>
      <c r="AS31" s="166">
        <f t="shared" si="36"/>
        <v>0</v>
      </c>
      <c r="AT31" s="166">
        <f t="shared" si="36"/>
        <v>0</v>
      </c>
      <c r="AU31" s="225"/>
      <c r="AV31" s="226"/>
      <c r="AW31" s="225"/>
      <c r="AX31" s="226"/>
      <c r="AY31" s="143">
        <f>SUBTOTAL(9,AY9:AY30)</f>
        <v>1569</v>
      </c>
      <c r="AZ31" s="144">
        <f>SUBTOTAL(9,AZ9:AZ30)</f>
        <v>659</v>
      </c>
      <c r="BA31" s="144">
        <f>SUBTOTAL(9,BA9:BA30)</f>
        <v>711</v>
      </c>
      <c r="BB31" s="144">
        <f>SUBTOTAL(9,BB9:BB30)</f>
        <v>1523</v>
      </c>
      <c r="BC31" s="145">
        <f>SUBTOTAL(9,BC9:BC30)</f>
        <v>152</v>
      </c>
      <c r="BD31" s="227">
        <f>IF(ISNUMBER(BA31/AZ31),BA31/AZ31," - ")</f>
        <v>1.0789074355083459</v>
      </c>
      <c r="BE31" s="224">
        <f>IF(ISNUMBER(BB31/BA31),BB31/BA31, " - ")</f>
        <v>2.1420534458509142</v>
      </c>
      <c r="BF31" s="224">
        <f>IF(ISNUMBER(BC31/BA31),BC31/BA31, " - ")</f>
        <v>0.21378340365682139</v>
      </c>
      <c r="BG31" s="145">
        <f>IF(ISNUMBER((AY31+AZ31)/BA31),(AY31+AZ31)/BA31," - ")</f>
        <v>3.1336146272855134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wkpHvzm9a4jGdgiRMVWxIUCXYGer711/dky2E0bHt4zr4agZuSP4kgylJ9gTF81tbx+6F5Sk00aaswIDkBlA==" saltValue="kmiCUClhkTvQCA8VR0/o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2mLu6rCA0u2+MpXLdER0HPkNh4NqlQINHr74LdD7oonqpyeE9V9EZ93DRVujShtgL0UX4LCLaiArLge69JCg==" saltValue="MwlEE0kS1+/F4CkKwDqH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BERGA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14</v>
      </c>
      <c r="AD10" s="549"/>
      <c r="AE10" s="563"/>
      <c r="AF10" s="551">
        <f>IF(ISNUMBER(Datos!L10),Datos!L10,"-")</f>
        <v>5</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-0.4375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1983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v>
      </c>
      <c r="BD12" s="693">
        <f>IF(ISNUMBER(Datos!N12),Datos!N12," - ")</f>
        <v>112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0.83854166666666663</v>
      </c>
      <c r="BH12" s="764">
        <f>IF(ISNUMBER(((IF(J_V="SI",Datos!L12/Datos!K12,(Datos!L12+Datos!AB12)/(Datos!K12+Datos!AA12)))*11)/factor_trimestre),((IF(J_V="SI",Datos!L12/Datos!K12,(Datos!L12+Datos!AB12)/(Datos!K12+Datos!AA12)))*11)/factor_trimestre," - ")</f>
        <v>11.161490683229815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-9.452054794520548E-2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315</v>
      </c>
      <c r="AD14" s="1198">
        <f t="shared" si="2"/>
        <v>0</v>
      </c>
      <c r="AE14" s="1198">
        <f t="shared" si="2"/>
        <v>0</v>
      </c>
      <c r="AF14" s="1198">
        <f t="shared" si="2"/>
        <v>5</v>
      </c>
      <c r="AG14" s="1198">
        <f t="shared" si="2"/>
        <v>0</v>
      </c>
      <c r="AH14" s="1198">
        <f t="shared" si="2"/>
        <v>27</v>
      </c>
      <c r="AI14" s="1198">
        <f t="shared" si="2"/>
        <v>0</v>
      </c>
      <c r="AJ14" s="1198">
        <f t="shared" si="2"/>
        <v>0</v>
      </c>
      <c r="AK14" s="1198">
        <f t="shared" si="2"/>
        <v>0</v>
      </c>
      <c r="AL14" s="1198">
        <f t="shared" si="2"/>
        <v>0</v>
      </c>
      <c r="AM14" s="1198">
        <f t="shared" si="2"/>
        <v>2001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113</v>
      </c>
      <c r="BE14" s="1198">
        <f t="shared" si="2"/>
        <v>0</v>
      </c>
      <c r="BF14" s="1198">
        <f t="shared" si="2"/>
        <v>0</v>
      </c>
      <c r="BG14" s="1198">
        <f>IF(ISNUMBER(Datos!K14/Datos!J14),Datos!K14/Datos!J14," - ")</f>
        <v>0.84986595174262736</v>
      </c>
      <c r="BH14" s="1202">
        <f>IF(ISNUMBER(((Datos!L14/Datos!K14)*11)/factor_trimestre),((Datos!L14/Datos!K14)*11)/factor_trimestre," - ")</f>
        <v>11.129337539432179</v>
      </c>
      <c r="BI14" s="1198">
        <f>IF(ISNUMBER('Resol  Asuntos'!D14/NºAsuntos!G14),'Resol  Asuntos'!D14/NºAsuntos!G14," - ")</f>
        <v>0.16257668711656442</v>
      </c>
      <c r="BJ14" s="1198" t="str">
        <f>IF(ISNUMBER(Datos!CI14/Datos!CJ14),Datos!CI14/Datos!CJ14," - ")</f>
        <v xml:space="preserve"> - </v>
      </c>
      <c r="BK14" s="1198">
        <f>SUBTOTAL(9,BK8:BK13)</f>
        <v>0</v>
      </c>
      <c r="BL14" s="1198">
        <f>IF(ISNUMBER((I14-AB14+L14)/(F14)),(I14-AB14+L14)/(F14)," - ")</f>
        <v>-0.5714285714285714</v>
      </c>
      <c r="BM14" s="1203">
        <f>SUBTOTAL(9,BM9:BM13)</f>
        <v>-0.53202054794520548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461</v>
      </c>
      <c r="G17" s="743">
        <f>IF(ISNUMBER(IF(D_I="SI",Datos!I17,Datos!I17+Datos!AC17)),IF(D_I="SI",Datos!I17,Datos!I17+Datos!AC17)," - ")</f>
        <v>457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233</v>
      </c>
      <c r="AC17" s="240">
        <f>IF(ISNUMBER(Datos!Q17),Datos!Q17," - ")</f>
        <v>6</v>
      </c>
      <c r="AD17" s="374"/>
      <c r="AE17" s="562"/>
      <c r="AF17" s="741">
        <f>IF(ISNUMBER(IF(D_I="SI",Datos!L17,Datos!L17+Datos!AF17)),IF(D_I="SI",Datos!L17,Datos!L17+Datos!AF17)," - ")</f>
        <v>505</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0.84115523465703967</v>
      </c>
      <c r="BH17" s="764">
        <f>IF(ISNUMBER(((IF(D_I="SI",Datos!L17/Datos!K17,(Datos!L17+Datos!AF17)/(Datos!K17+Datos!AE17)))*11)/factor_trimestre),((IF(D_I="SI",Datos!L17/Datos!K17,(Datos!L17+Datos!AF17)/(Datos!K17+Datos!AE17)))*11)/factor_trimestre," - ")</f>
        <v>6.5021459227467817</v>
      </c>
      <c r="BI17" s="266">
        <f>IF(ISNUMBER('Resol  Asuntos'!D17/NºAsuntos!G17),'Resol  Asuntos'!D17/NºAsuntos!G17," - ")</f>
        <v>0.1630901287553648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0.75862068965517238</v>
      </c>
      <c r="BH18" s="764">
        <f>IF(ISNUMBER(((IF(D_I="SI",Datos!L18/Datos!K18,(Datos!L18+Datos!AF18)/(Datos!K18+Datos!AE18)))*11)/factor_trimestre),((IF(D_I="SI",Datos!L18/Datos!K18,(Datos!L18+Datos!AF18)/(Datos!K18+Datos!AE18)))*11)/factor_trimestre," - ")</f>
        <v>6.954545454545455</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461</v>
      </c>
      <c r="G23" s="1197">
        <f>SUBTOTAL(9,G16:G22)</f>
        <v>501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255</v>
      </c>
      <c r="AC23" s="1198">
        <f t="shared" si="5"/>
        <v>6</v>
      </c>
      <c r="AD23" s="1198">
        <f t="shared" si="5"/>
        <v>0</v>
      </c>
      <c r="AE23" s="1198">
        <f t="shared" si="5"/>
        <v>0</v>
      </c>
      <c r="AF23" s="1198">
        <f t="shared" si="5"/>
        <v>556</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151</v>
      </c>
      <c r="BE23" s="1198">
        <f t="shared" si="5"/>
        <v>0</v>
      </c>
      <c r="BF23" s="1198">
        <f t="shared" si="5"/>
        <v>0</v>
      </c>
      <c r="BG23" s="1198">
        <f>IF(ISNUMBER(Datos!K23/Datos!J23),Datos!K23/Datos!J23," - ")</f>
        <v>0.83333333333333337</v>
      </c>
      <c r="BH23" s="1202">
        <f>IF(ISNUMBER(((Datos!L23/Datos!K23)*11)/factor_trimestre),((Datos!L23/Datos!K23)*11)/factor_trimestre," - ")</f>
        <v>6.5411764705882343</v>
      </c>
      <c r="BI23" s="1198">
        <f>SUBTOTAL(9,BI16:BI22)</f>
        <v>0.25399921966445571</v>
      </c>
      <c r="BJ23" s="1198">
        <f>SUBTOTAL(9,BJ16:BJ22)</f>
        <v>0</v>
      </c>
      <c r="BK23" s="1198">
        <f>SUBTOTAL(9,BK16:BK22)</f>
        <v>0</v>
      </c>
      <c r="BL23" s="1198">
        <f>IF(ISNUMBER((I23-AB23+L23)/(F23)),(I23-AB23+L23)/(F23)," - ")</f>
        <v>-0.55314533622559658</v>
      </c>
      <c r="BM23" s="1205">
        <f>IF(ISNUMBER((Datos!P23-Datos!Q23)/(Datos!R23-Datos!P23+Datos!Q23)),(Datos!P23-Datos!Q23)/(Datos!R23-Datos!P23+Datos!Q23)," - ")</f>
        <v>-8.5714285714285715E-2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468</v>
      </c>
      <c r="G31" s="1117">
        <f t="shared" si="18"/>
        <v>508</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259</v>
      </c>
      <c r="AC31" s="1118">
        <f t="shared" si="19"/>
        <v>321</v>
      </c>
      <c r="AD31" s="1118">
        <f t="shared" si="19"/>
        <v>0</v>
      </c>
      <c r="AE31" s="1118">
        <f t="shared" si="19"/>
        <v>0</v>
      </c>
      <c r="AF31" s="1125">
        <f t="shared" si="19"/>
        <v>561</v>
      </c>
      <c r="AG31" s="1125">
        <f t="shared" si="19"/>
        <v>0</v>
      </c>
      <c r="AH31" s="1125">
        <f t="shared" si="19"/>
        <v>27</v>
      </c>
      <c r="AI31" s="1125">
        <f t="shared" si="19"/>
        <v>0</v>
      </c>
      <c r="AJ31" s="1118">
        <f t="shared" si="19"/>
        <v>0</v>
      </c>
      <c r="AK31" s="1125">
        <f t="shared" si="19"/>
        <v>0</v>
      </c>
      <c r="AL31" s="1125">
        <f t="shared" si="19"/>
        <v>0</v>
      </c>
      <c r="AM31" s="1125">
        <f t="shared" si="19"/>
        <v>2065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264</v>
      </c>
      <c r="BE31" s="1117">
        <f t="shared" si="19"/>
        <v>0</v>
      </c>
      <c r="BF31" s="1127">
        <f t="shared" si="19"/>
        <v>0</v>
      </c>
      <c r="BG31" s="1223">
        <f>IF(ISNUMBER(Datos!K31/Datos!J31),Datos!K31/Datos!J31," - ")</f>
        <v>0.84241531664212077</v>
      </c>
      <c r="BH31" s="1223">
        <f>IF(ISNUMBER(((Datos!L31/Datos!K31)*11)/factor_trimestre),((Datos!L31/Datos!K31)*11)/factor_trimestre," - ")</f>
        <v>9.0839160839160833</v>
      </c>
      <c r="BI31" s="1103">
        <f>IF(ISNUMBER(Datos!J31/Datos!I31),Datos!J31/Datos!I31," - ")</f>
        <v>0.418877236273905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-0.55341880341880345</v>
      </c>
      <c r="BM31" s="1188">
        <f>IF(ISNUMBER((Datos!P31-Datos!Q31+R31)/(Datos!R31-Datos!P31+Datos!Q31-R31)),(Datos!P31-Datos!Q31+R31)/(Datos!R31-Datos!P31+Datos!Q31-R31)," - ")</f>
        <v>-9.9040139616055844E-2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236.27272377487844</v>
      </c>
      <c r="G33" s="674">
        <f>IF(ISNUMBER(STDEV(G8:G30)),STDEV(G8:G30),"-")</f>
        <v>228.91732755984825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116.54612820681776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24.904101784932653</v>
      </c>
      <c r="BD33" s="673"/>
      <c r="BE33" s="673">
        <f>IF(ISNUMBER(STDEV(BE8:BE30)),STDEV(BE8:BE30),"-")</f>
        <v>0</v>
      </c>
      <c r="BF33" s="678">
        <f>IF(ISNUMBER(STDEV(BF8:BF30)),STDEV(BF8:BF30),"-")</f>
        <v>0</v>
      </c>
      <c r="BG33" s="1052">
        <f>IF(ISNUMBER(STDEV(BG8:BG30)),STDEV(BG8:BG30),"-")</f>
        <v>0.48112812764136353</v>
      </c>
      <c r="BH33" s="1058">
        <f>IF(ISNUMBER(STDEV(BH8:BH30)),STDEV(BH8:BH30),"-")</f>
        <v>2.9214334172988359</v>
      </c>
      <c r="BI33" s="273">
        <f>IF(ISNUMBER(STDEV(BI8:BI30)),STDEV(BI8:BI30),"-")</f>
        <v>6.6812887078933708E-2</v>
      </c>
      <c r="BJ33" s="244" t="str">
        <f>IF(ISNUMBER(BL33/BM33),BL33/BM33," - ")</f>
        <v xml:space="preserve"> - </v>
      </c>
      <c r="BK33" s="709"/>
      <c r="BL33" s="681">
        <f>IF(ISNUMBER(STDEV(BL8:BL30)),STDEV(BL8:BL30),"-")</f>
        <v>1.2928199594052094E-2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9DsFgUDcr11Dx3/46k7Onx8W/PFHtZDV97xWT/KKhU1ky7EeOAcQFYKTDxyC7r2OmFfXZMMqcD8reeG4zDGtQ==" saltValue="NXW6tvobpUU3AL526BM9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BERGA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14</v>
      </c>
      <c r="AA10" s="551">
        <f>IF(ISNUMBER(Datos!L10),Datos!L10,"-")</f>
        <v>5</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-0.4375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301</v>
      </c>
      <c r="AA12" s="551" t="str">
        <f>IF(ISNUMBER(IF(J_V="SI",Datos!L12,Datos!L12+Datos!AB12)-IF(Monitorios="SI",Datos!CD12,0)),
                          IF(J_V="SI",Datos!L12,Datos!L12+Datos!AB12)-IF(Monitorios="SI",Datos!CD12,0),
                          " - ")</f>
        <v xml:space="preserve"> - </v>
      </c>
      <c r="AB12" s="549"/>
      <c r="AC12" s="549"/>
      <c r="AD12" s="563"/>
      <c r="AE12" s="563">
        <f>IF(ISNUMBER(Datos!R12),Datos!R12," - ")</f>
        <v>1983</v>
      </c>
      <c r="AF12" s="693" t="str">
        <f>IF(ISNUMBER(Datos!BV12),Datos!BV12," - ")</f>
        <v xml:space="preserve"> - </v>
      </c>
      <c r="AG12" s="552" t="str">
        <f>IF(ISNUMBER(Datos!DV12),Datos!DV12," - ")</f>
        <v xml:space="preserve"> - </v>
      </c>
      <c r="AH12" s="553"/>
      <c r="AI12" s="554"/>
      <c r="AJ12" s="552">
        <f>IF(ISNUMBER(Datos!M12),Datos!M12," - ")</f>
        <v>53</v>
      </c>
      <c r="AK12" s="693">
        <f>IF(ISNUMBER(Datos!N12),Datos!N12," - ")</f>
        <v>112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11.161490683229815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-9.452054794520548E-2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315</v>
      </c>
      <c r="AA14" s="1199">
        <f t="shared" si="3"/>
        <v>5</v>
      </c>
      <c r="AB14" s="1199">
        <f t="shared" si="3"/>
        <v>0</v>
      </c>
      <c r="AC14" s="1199">
        <f t="shared" si="3"/>
        <v>0</v>
      </c>
      <c r="AD14" s="1199">
        <f t="shared" si="3"/>
        <v>0</v>
      </c>
      <c r="AE14" s="1199">
        <f t="shared" si="3"/>
        <v>2001</v>
      </c>
      <c r="AF14" s="1211">
        <f t="shared" si="3"/>
        <v>0</v>
      </c>
      <c r="AG14" s="1211">
        <f t="shared" si="3"/>
        <v>0</v>
      </c>
      <c r="AH14" s="1211">
        <f t="shared" si="3"/>
        <v>0</v>
      </c>
      <c r="AI14" s="1211">
        <f t="shared" si="3"/>
        <v>0</v>
      </c>
      <c r="AJ14" s="1211">
        <f t="shared" si="3"/>
        <v>53</v>
      </c>
      <c r="AK14" s="1211">
        <f t="shared" si="3"/>
        <v>113</v>
      </c>
      <c r="AL14" s="1211">
        <f t="shared" si="3"/>
        <v>0</v>
      </c>
      <c r="AM14" s="1211">
        <f t="shared" si="3"/>
        <v>0</v>
      </c>
      <c r="AN14" s="1211">
        <f t="shared" si="3"/>
        <v>0</v>
      </c>
      <c r="AO14" s="1203">
        <f>IF(ISNUMBER(((NºAsuntos!I14/NºAsuntos!G14)*11)/factor_trimestre),((NºAsuntos!I14/NºAsuntos!G14)*11)/factor_trimestre," - ")</f>
        <v>11.070552147239264</v>
      </c>
      <c r="AP14" s="1213" t="str">
        <f>IF(ISNUMBER(Datos!CI14/Datos!CJ14),Datos!CI14/Datos!CJ14," - ")</f>
        <v xml:space="preserve"> - </v>
      </c>
      <c r="AQ14" s="1236">
        <f t="shared" ref="AQ14:AV14" si="4">SUBTOTAL(9,AQ9:AQ13)</f>
        <v>0</v>
      </c>
      <c r="AR14" s="1236">
        <f t="shared" si="4"/>
        <v>-0.53202054794520548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461</v>
      </c>
      <c r="G17" s="552">
        <f>IF(ISNUMBER(IF(D_I="SI",Datos!I17,Datos!I17+Datos!AC17)),IF(D_I="SI",Datos!I17,Datos!I17+Datos!AC17)," - ")</f>
        <v>457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233</v>
      </c>
      <c r="Z17" s="805">
        <f>IF(ISNUMBER(Datos!Q17),Datos!Q17," - ")</f>
        <v>6</v>
      </c>
      <c r="AA17" s="551">
        <f>IF(ISNUMBER(IF(D_I="SI",Datos!L17,Datos!L17+Datos!AF17)),IF(D_I="SI",Datos!L17,Datos!L17+Datos!AF17)," - ")</f>
        <v>505</v>
      </c>
      <c r="AB17" s="549"/>
      <c r="AC17" s="549"/>
      <c r="AD17" s="563"/>
      <c r="AE17" s="563">
        <f>IF(ISNUMBER(Datos!R17),Datos!R17," - ")</f>
        <v>64</v>
      </c>
      <c r="AF17" s="693" t="str">
        <f>IF(ISNUMBER(Datos!BV17),Datos!BV17," - ")</f>
        <v xml:space="preserve"> - </v>
      </c>
      <c r="AG17" s="552"/>
      <c r="AH17" s="553"/>
      <c r="AI17" s="554"/>
      <c r="AJ17" s="552">
        <f>IF(ISNUMBER(Datos!M17),Datos!M17," - ")</f>
        <v>38</v>
      </c>
      <c r="AK17" s="693">
        <f>IF(ISNUMBER(Datos!N17),Datos!N17," - ")</f>
        <v>138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6.5021459227467817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6.954545454545455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461</v>
      </c>
      <c r="G23" s="1197">
        <f>SUBTOTAL(9,G16:G22)</f>
        <v>501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255</v>
      </c>
      <c r="Z23" s="1240">
        <f t="shared" si="6"/>
        <v>6</v>
      </c>
      <c r="AA23" s="1240">
        <f t="shared" si="6"/>
        <v>556</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40</v>
      </c>
      <c r="AK23" s="1240">
        <f t="shared" si="6"/>
        <v>151</v>
      </c>
      <c r="AL23" s="1240">
        <f t="shared" si="6"/>
        <v>0</v>
      </c>
      <c r="AM23" s="1240">
        <f t="shared" si="6"/>
        <v>0</v>
      </c>
      <c r="AN23" s="1240">
        <f t="shared" si="6"/>
        <v>0</v>
      </c>
      <c r="AO23" s="1242">
        <f>IF(ISNUMBER(((NºAsuntos!I23/NºAsuntos!G23)*11)/factor_trimestre),((NºAsuntos!I23/NºAsuntos!G23)*11)/factor_trimestre," - ")</f>
        <v>6.5411764705882343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468</v>
      </c>
      <c r="G31" s="1117">
        <f t="shared" si="12"/>
        <v>508</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259</v>
      </c>
      <c r="Z31" s="1124">
        <f t="shared" si="13"/>
        <v>321</v>
      </c>
      <c r="AA31" s="1125">
        <f t="shared" si="13"/>
        <v>561</v>
      </c>
      <c r="AB31" s="1125">
        <f t="shared" si="13"/>
        <v>0</v>
      </c>
      <c r="AC31" s="1125">
        <f t="shared" si="13"/>
        <v>0</v>
      </c>
      <c r="AD31" s="1126">
        <f t="shared" si="13"/>
        <v>0</v>
      </c>
      <c r="AE31" s="1126">
        <f t="shared" si="13"/>
        <v>2065</v>
      </c>
      <c r="AF31" s="1127">
        <f t="shared" si="13"/>
        <v>0</v>
      </c>
      <c r="AG31" s="1128">
        <f t="shared" si="13"/>
        <v>0</v>
      </c>
      <c r="AH31" s="1129">
        <f t="shared" si="13"/>
        <v>0</v>
      </c>
      <c r="AI31" s="1127">
        <f t="shared" si="13"/>
        <v>0</v>
      </c>
      <c r="AJ31" s="1117">
        <f t="shared" si="13"/>
        <v>93</v>
      </c>
      <c r="AK31" s="1117">
        <f t="shared" si="13"/>
        <v>264</v>
      </c>
      <c r="AL31" s="1117">
        <f t="shared" si="13"/>
        <v>0</v>
      </c>
      <c r="AM31" s="1130">
        <f t="shared" si="13"/>
        <v>0</v>
      </c>
      <c r="AN31" s="1120">
        <f>IF(ISNUMBER(Datos!K31/Datos!J31),Datos!K31/Datos!J31," - ")</f>
        <v>0.84241531664212077</v>
      </c>
      <c r="AO31" s="1120">
        <f>IF(ISNUMBER(FIND("06",Criterios!A8,1)),(IF(ISNUMBER(((Datos!R31/Datos!Q31)*11)/factor_trimestre),((Datos!R31/Datos!Q31)*11)/factor_trimestre," - ")),(IF(ISNUMBER(((Datos!L31/Datos!K31)*11)/factor_trimestre),((Datos!L31/Datos!K31)*11)/factor_trimestre," - ")))</f>
        <v>9.0839160839160833</v>
      </c>
      <c r="AP31" s="1131" t="str">
        <f>IF(ISNUMBER(Datos!CI31/Datos!CJ31),Datos!CI31/Datos!CJ31," - ")</f>
        <v xml:space="preserve"> - </v>
      </c>
      <c r="AQ31" s="1131">
        <f>IF(OR(ISNUMBER(FIND("01",Criterios!A8,1)),ISNUMBER(FIND("02",Criterios!A8,1)),ISNUMBER(FIND("03",Criterios!A8,1)),ISNUMBER(FIND("04",Criterios!A8,1))),(J31-Y31+K31)/(F31-K31),(I31-Y31+K31)/(F31-K31))</f>
        <v>-0.55341880341880345</v>
      </c>
      <c r="AR31" s="1131">
        <f>IF(ISNUMBER((Datos!P31-Datos!Q31+O31)/(Datos!R31-Datos!P31+Datos!Q31-O31)),(Datos!P31-Datos!Q31+O31)/(Datos!R31-Datos!P31+Datos!Q31-O31)," - ")</f>
        <v>-9.9040139616055844E-2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236.27272377487844</v>
      </c>
      <c r="G33" s="674">
        <f>IF(ISNUMBER(STDEV(G8:G30)),STDEV(G8:G30),"-")</f>
        <v>228.91732755984825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24.904101784932653</v>
      </c>
      <c r="AK33" s="276"/>
      <c r="AL33" s="276">
        <f>IF(ISNUMBER(STDEV(AL8:AL30)),STDEV(AL8:AL30),"-")</f>
        <v>0</v>
      </c>
      <c r="AM33" s="278">
        <f>IF(ISNUMBER(STDEV(AM8:AM30)),STDEV(AM8:AM30),"-")</f>
        <v>0</v>
      </c>
      <c r="AN33" s="660">
        <f>IF(ISNUMBER(STDEV(AN8:AN30)),STDEV(AN8:AN30),"-")</f>
        <v>0</v>
      </c>
      <c r="AO33" s="661">
        <f>IF(ISNUMBER(STDEV(AO8:AO30)),STDEV(AO8:AO30),"-")</f>
        <v>2.9075899006271366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UV6p7DkSw/+LBAOdf6OlO8TxX8ipgdxXeDNAxwoRhUfs13bOiopENeI5g1QW/5LnzmD/X2xMPiljRCXjYaPjg==" saltValue="pv1rRBoWp/pIyznj9ZBE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3mCeoCjFzHdFtUz8mQ/lWLJbBrfVIr8noF9kWrd929RFO48NTR1+cj16DW4o9HLVmoA+adE4Ww4hiCBkSCCGQ==" saltValue="6BM6/ux6cyROR86lYvRE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WBec4GBISYb68/AA6T76/gHIscJeDyuf/F5JnCXcHdSsunvWTtJGArMLdndB0L0vyv5EMw/zdaGIyxh+NeLw==" saltValue="6ubGr3nUpQor90ZAE2OJ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BERGA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0.16257668711656442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0.11495907792296632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kMoz68XsZASqKxUrIfkT0RL7KplTRRwjWujeafDEkaHB3KMiRJBC0BTMI/EGWDEQjKEMkAjFJ5aV3TyWw86jg==" saltValue="yCFjEUMXYeiCnFlSaEyE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YU3lE4LCy2XLWS3G/ZnH0UyDHKmjdDHcDww/rswdMo4oBCnHSvlxKVm/6ImnwYfQO/JQKKv47/qBe3VMrFOA==" saltValue="Zg4Y7dEJ+MGJmnXTD0GA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BERGA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1136</v>
      </c>
      <c r="D12" s="452">
        <f>IF(ISNUMBER(C12/Datos!BH12),C12/Datos!BH12," - ")</f>
        <v>568</v>
      </c>
      <c r="E12" s="451">
        <f>IF(ISNUMBER(IF(J_V="SI",Datos!J12,Datos!J12+Datos!Z12)),IF(J_V="SI",Datos!J12,Datos!J12+Datos!Z12)," - ")</f>
        <v>384</v>
      </c>
      <c r="F12" s="452">
        <f>IF(ISNUMBER(E12/B12),E12/B12," - ")</f>
        <v>192</v>
      </c>
      <c r="G12" s="451">
        <f>IF(ISNUMBER(IF(J_V="SI",Datos!K12,Datos!K12+Datos!AA12)),IF(J_V="SI",Datos!K12,Datos!K12+Datos!AA12)," - ")</f>
        <v>322</v>
      </c>
      <c r="H12" s="452">
        <f>IF(ISNUMBER(G12/B12),G12/B12," - ")</f>
        <v>161</v>
      </c>
      <c r="I12" s="451">
        <f>IF(ISNUMBER(IF(J_V="SI",Datos!L12,Datos!L12+Datos!AB12)),IF(J_V="SI",Datos!L12,Datos!L12+Datos!AB12)," - ")</f>
        <v>1198</v>
      </c>
      <c r="J12" s="452">
        <f>IF(ISNUMBER(I12/B12),I12/B12," - ")</f>
        <v>599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1143</v>
      </c>
      <c r="D14" s="1147" t="str">
        <f>IF(ISNUMBER(C14/Datos!BI14),C14/Datos!BI14," - ")</f>
        <v xml:space="preserve"> - </v>
      </c>
      <c r="E14" s="1146">
        <f>SUBTOTAL(9,E8:E13)</f>
        <v>386</v>
      </c>
      <c r="F14" s="1147">
        <f>IF(ISNUMBER(E14/B14),E14/B14," - ")</f>
        <v>193</v>
      </c>
      <c r="G14" s="1146">
        <f>SUBTOTAL(9,G8:G13)</f>
        <v>326</v>
      </c>
      <c r="H14" s="1147">
        <f>IF(ISNUMBER(G14/B14),G14/B14," - ")</f>
        <v>163</v>
      </c>
      <c r="I14" s="1146">
        <f>SUBTOTAL(9,I8:I13)</f>
        <v>1203</v>
      </c>
      <c r="J14" s="1147">
        <f>IF(ISNUMBER(I14/B14),I14/B14," - ")</f>
        <v>601.5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457</v>
      </c>
      <c r="D17" s="452">
        <f>IF(ISNUMBER(C17/Datos!BH17),C17/Datos!BH17," - ")</f>
        <v>228.5</v>
      </c>
      <c r="E17" s="451">
        <f>IF(ISNUMBER(IF(D_I="SI",Datos!J17,Datos!J17+Datos!AD17)),IF(D_I="SI",Datos!J17,Datos!J17+Datos!AD17)," - ")</f>
        <v>277</v>
      </c>
      <c r="F17" s="452">
        <f>IF(ISNUMBER(E17/B17),E17/B17," - ")</f>
        <v>138.5</v>
      </c>
      <c r="G17" s="451">
        <f>IF(ISNUMBER(IF(D_I="SI",Datos!K17,Datos!K17+Datos!AE17)),IF(D_I="SI",Datos!K17,Datos!K17+Datos!AE17)," - ")</f>
        <v>233</v>
      </c>
      <c r="H17" s="452">
        <f>IF(ISNUMBER(G17/B17),G17/B17," - ")</f>
        <v>116.5</v>
      </c>
      <c r="I17" s="451">
        <f>IF(ISNUMBER(IF(D_I="SI",Datos!L17,Datos!L17+Datos!AF17)),IF(D_I="SI",Datos!L17,Datos!L17+Datos!AF17)," - ")</f>
        <v>505</v>
      </c>
      <c r="J17" s="452">
        <f>IF(ISNUMBER(I17/B17),I17/B17," - ")</f>
        <v>252.5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29</v>
      </c>
      <c r="F18" s="452">
        <f>IF(ISNUMBER(E18/B18),E18/B18," - ")</f>
        <v>29</v>
      </c>
      <c r="G18" s="451">
        <f>IF(ISNUMBER(IF(D_I="SI",Datos!K18,Datos!K18+Datos!AE18)),IF(D_I="SI",Datos!K18,Datos!K18+Datos!AE18)," - ")</f>
        <v>22</v>
      </c>
      <c r="H18" s="452">
        <f>IF(ISNUMBER(G18/B18),G18/B18," - ")</f>
        <v>22</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501</v>
      </c>
      <c r="D23" s="1147" t="str">
        <f>IF(ISNUMBER(C23/Datos!BI23),C23/Datos!BI23," - ")</f>
        <v xml:space="preserve"> - </v>
      </c>
      <c r="E23" s="1146">
        <f>SUBTOTAL(9,E15:E22)</f>
        <v>306</v>
      </c>
      <c r="F23" s="1147">
        <f>IF(ISNUMBER(E23/B23),E23/B23," - ")</f>
        <v>153</v>
      </c>
      <c r="G23" s="1146">
        <f>SUBTOTAL(9,G15:G22)</f>
        <v>255</v>
      </c>
      <c r="H23" s="1147">
        <f>IF(ISNUMBER(G23/B23),G23/B23," - ")</f>
        <v>127.5</v>
      </c>
      <c r="I23" s="1146">
        <f>SUBTOTAL(9,I15:I22)</f>
        <v>556</v>
      </c>
      <c r="J23" s="1147">
        <f>IF(ISNUMBER(I23/B23),I23/B23," - ")</f>
        <v>278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1644</v>
      </c>
      <c r="D31" s="1085" t="str">
        <f>IF(ISNUMBER(C31/Datos!BI31),C31/Datos!BI31," - ")</f>
        <v xml:space="preserve"> - </v>
      </c>
      <c r="E31" s="1084">
        <f>SUBTOTAL(9,E9:E30)</f>
        <v>692</v>
      </c>
      <c r="F31" s="1085">
        <f>IF(ISNUMBER(E31/B31),E31/B31," - ")</f>
        <v>346</v>
      </c>
      <c r="G31" s="1084">
        <f>SUBTOTAL(9,G9:G30)</f>
        <v>581</v>
      </c>
      <c r="H31" s="1085">
        <f>IF(ISNUMBER(G31/B31),G31/B31," - ")</f>
        <v>290.5</v>
      </c>
      <c r="I31" s="1084">
        <f>SUBTOTAL(9,I9:I30)</f>
        <v>1759</v>
      </c>
      <c r="J31" s="1085">
        <f>IF(ISNUMBER(I31/B31),I31/B31," - ")</f>
        <v>879.5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DHJHRCnUh8RNbduBf4lp8aFMAKWstcYe7hYlSt29sFW2Lf/prZ0N1GJ/ob9XhQLn4taJLku5hxNjmhE+6WbJQ==" saltValue="dZ50q/xcJyDAjz8pTl+G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BERGA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v>
      </c>
      <c r="AM12" s="914">
        <f>IF(ISNUMBER(Datos!N12+DatosP!N17),Datos!N12+DatosP!N17," - ")</f>
        <v>112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11.161490683229815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-9.452054794520548E-2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301</v>
      </c>
      <c r="AE14" s="1257">
        <f t="shared" si="1"/>
        <v>0</v>
      </c>
      <c r="AF14" s="1257">
        <f t="shared" si="1"/>
        <v>5</v>
      </c>
      <c r="AG14" s="1257">
        <f t="shared" si="1"/>
        <v>0</v>
      </c>
      <c r="AH14" s="1257">
        <f t="shared" si="1"/>
        <v>1983</v>
      </c>
      <c r="AI14" s="1257">
        <f t="shared" si="1"/>
        <v>0</v>
      </c>
      <c r="AJ14" s="1257">
        <f t="shared" si="1"/>
        <v>0</v>
      </c>
      <c r="AK14" s="1257">
        <f t="shared" si="1"/>
        <v>0</v>
      </c>
      <c r="AL14" s="1257">
        <f t="shared" si="1"/>
        <v>53</v>
      </c>
      <c r="AM14" s="1257">
        <f t="shared" si="1"/>
        <v>113</v>
      </c>
      <c r="AN14" s="1257">
        <f t="shared" si="1"/>
        <v>0</v>
      </c>
      <c r="AO14" s="1257">
        <f t="shared" si="1"/>
        <v>0</v>
      </c>
      <c r="AP14" s="1262">
        <f>IF(ISNUMBER(((Datos!L14/Datos!K14)*11)/factor_trimestre),((Datos!L14/Datos!K14)*11)/factor_trimestre," - ")</f>
        <v>11.129337539432179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-9.452054794520548E-2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6.5411764705882343</v>
      </c>
      <c r="AQ23" s="1262">
        <f>IF(ISNUMBER(((Datos!M23/Datos!L23)*11)/factor_trimestre),((Datos!M23/Datos!L23)*11)/factor_trimestre," - ")</f>
        <v>0.21582733812949639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-8.5714285714285715E-2</v>
      </c>
      <c r="AW23" s="1265">
        <f>IF(ISNUMBER((Datos!Q23-Datos!R23)/(Datos!S23-Datos!Q23+Datos!R23)),(Datos!Q23-Datos!R23)/(Datos!S23-Datos!Q23+Datos!R23)," - ")</f>
        <v>-0.10526315789473684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301</v>
      </c>
      <c r="AE31" s="1284">
        <f t="shared" si="9"/>
        <v>0</v>
      </c>
      <c r="AF31" s="1285">
        <f t="shared" si="9"/>
        <v>5</v>
      </c>
      <c r="AG31" s="1285">
        <f t="shared" si="9"/>
        <v>0</v>
      </c>
      <c r="AH31" s="1285">
        <f t="shared" si="9"/>
        <v>1983</v>
      </c>
      <c r="AI31" s="1285">
        <f t="shared" si="9"/>
        <v>0</v>
      </c>
      <c r="AJ31" s="1286">
        <f t="shared" si="9"/>
        <v>0</v>
      </c>
      <c r="AK31" s="1286">
        <f t="shared" si="9"/>
        <v>0</v>
      </c>
      <c r="AL31" s="1278">
        <f t="shared" si="9"/>
        <v>53</v>
      </c>
      <c r="AM31" s="1278">
        <f t="shared" si="9"/>
        <v>113</v>
      </c>
      <c r="AN31" s="1278">
        <f t="shared" si="9"/>
        <v>0</v>
      </c>
      <c r="AO31" s="1278">
        <f t="shared" si="9"/>
        <v>0</v>
      </c>
      <c r="AP31" s="1278">
        <f>IF(ISNUMBER(((Datos!L31/Datos!K31)*11)/factor_trimestre),((Datos!L31/Datos!K31)*11)/factor_trimestre," - ")</f>
        <v>9.0839160839160833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-9.9040139616055844E-2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27.36908231319908</v>
      </c>
      <c r="AM33" s="1006"/>
      <c r="AN33" s="1006">
        <f>IF(ISNUMBER(STDEV(AN8:AN30)),STDEV(AN8:AN30),"-")</f>
        <v>0</v>
      </c>
      <c r="AO33" s="1012">
        <f>IF(ISNUMBER(STDEV(AO8:AO30)),STDEV(AO8:AO30),"-")</f>
        <v>0</v>
      </c>
      <c r="AP33" s="1065">
        <f>IF(ISNUMBER(STDEV(AP8:AP30)),STDEV(AP8:AP30),"-")</f>
        <v>3.6466313450485779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XMLVHCPVdcmV+FQT1SI8q4TbK21m7C5EMZ4ViLOJF++oVdPWcI2GC2agxwmxscrTq1z+WoJhv/mdWGHyfXz+w==" saltValue="ih1rUjOYBu5BjJt79QWr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BERGA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RkRBNtCXO/nsbDX3z9IKXkN31CtH2BYN0gbpmSteztdO2PXqTeUZMxGbxFMxgzrTiGoC2fIHF8UA3Chst25wQ==" saltValue="Ug1mPqocBGbKXqTeYtmR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BERGA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53</v>
      </c>
      <c r="E12" s="452">
        <f t="shared" si="0"/>
        <v>26.5</v>
      </c>
      <c r="F12" s="451">
        <f>IF(ISNUMBER(Datos!N12),Datos!N12," - ")</f>
        <v>112</v>
      </c>
      <c r="G12" s="452">
        <f t="shared" si="1"/>
        <v>56</v>
      </c>
      <c r="H12" s="451">
        <f>IF(ISNUMBER(Datos!O12),Datos!O12," - ")</f>
        <v>189</v>
      </c>
      <c r="I12" s="452">
        <f t="shared" si="2"/>
        <v>94.5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53</v>
      </c>
      <c r="E14" s="1147">
        <f t="shared" si="0"/>
        <v>17.666666666666668</v>
      </c>
      <c r="F14" s="1146">
        <f>SUBTOTAL(9,F9:F13)</f>
        <v>113</v>
      </c>
      <c r="G14" s="1147">
        <f t="shared" si="1"/>
        <v>37.666666666666664</v>
      </c>
      <c r="H14" s="1146">
        <f>SUBTOTAL(9,H9:H13)</f>
        <v>191</v>
      </c>
      <c r="I14" s="1147">
        <f>IF(ISNUMBER(H14/B14),H14/B14," - ")</f>
        <v>63.666666666666664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138</v>
      </c>
      <c r="G17" s="452">
        <f t="shared" si="4"/>
        <v>69</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151</v>
      </c>
      <c r="G23" s="1147">
        <f t="shared" si="4"/>
        <v>50.333333333333336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264</v>
      </c>
      <c r="G31" s="1085">
        <f>IF(ISNUMBER(F31/B31),F31/B31," - ")</f>
        <v>132</v>
      </c>
      <c r="H31" s="1084">
        <f>SUBTOTAL(9,H8:H30)</f>
        <v>191</v>
      </c>
      <c r="I31" s="1085">
        <f>IF(ISNUMBER(H31/B31),H31/B31," - ")</f>
        <v>95.5</v>
      </c>
    </row>
    <row r="34" spans="1:1">
      <c r="A34" s="439" t="str">
        <f>Criterios!A4</f>
        <v>Fecha Informe: 05 may. 2023</v>
      </c>
    </row>
    <row r="39" spans="1:1">
      <c r="A39" s="462"/>
    </row>
  </sheetData>
  <sheetProtection algorithmName="SHA-512" hashValue="40TVc8bEOFkcf0mvYHm6uWGHNUQ4ufWiqvSnxbuQBwFRAMdH0VFVxheQB5TbCSXwjiS5zwCnavvGBBBrKPwS7Q==" saltValue="E3Yb4Nydq+KqkCOCyfN+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BERGA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14</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301</v>
      </c>
      <c r="D12" s="456">
        <f>IF(ISNUMBER(Datos!R12),Datos!R12," - ")</f>
        <v>1983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315</v>
      </c>
      <c r="D14" s="1148">
        <f>SUBTOTAL(9,D9:D13)</f>
        <v>2001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6</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6</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321</v>
      </c>
      <c r="D31" s="1090">
        <f>SUBTOTAL(9,D8:D30)</f>
        <v>2065</v>
      </c>
    </row>
    <row r="32" spans="1:4" ht="7.5" customHeight="1"/>
    <row r="33" spans="1:1" ht="6" customHeight="1"/>
    <row r="34" spans="1:1">
      <c r="A34" s="439" t="str">
        <f>Criterios!A4</f>
        <v>Fecha Informe: 05 may. 2023</v>
      </c>
    </row>
    <row r="39" spans="1:1">
      <c r="A39" s="462"/>
    </row>
  </sheetData>
  <sheetProtection algorithmName="SHA-512" hashValue="weUiE/7gOl3PN2mqEXYOqyxUH+QyRtFlhaMEJ19iUIfIqxMSTepatuzv7nWTOc5BJFIDHdIFZnBHZJGYl72uCg==" saltValue="eWZqN9g3+w8+f0zDgLUe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BERGA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-0.46153846153846156</v>
      </c>
      <c r="C10" s="515">
        <f>IF(ISNUMBER((Datos!J10-Datos!T10)/Datos!T10),(Datos!J10-Datos!T10)/Datos!T10," - ")</f>
        <v>-0.5</v>
      </c>
      <c r="D10" s="515">
        <f>IF(ISNUMBER((Datos!K10-Datos!U10)/Datos!U10),(Datos!K10-Datos!U10)/Datos!U10," - ")</f>
        <v>-0.42857142857142855</v>
      </c>
      <c r="E10" s="515">
        <f>IF(ISNUMBER((Datos!L10-Datos!V10)/Datos!V10),(Datos!L10-Datos!V10)/Datos!V10," - ")</f>
        <v>-0.5</v>
      </c>
      <c r="F10" s="515">
        <f>IF(ISNUMBER((Datos!M10-Datos!W10)/Datos!W10),(Datos!M10-Datos!W10)/Datos!W10," - ")</f>
        <v>-1</v>
      </c>
      <c r="G10" s="516">
        <f>IF(ISNUMBER((Datos!N10-Datos!X10)/Datos!X10),(Datos!N10-Datos!X10)/Datos!X10," - ")</f>
        <v>-0.5</v>
      </c>
      <c r="H10" s="514">
        <f>IF(ISNUMBER(((NºAsuntos!G10/NºAsuntos!E10)-Datos!BD10)/Datos!BD10),((NºAsuntos!G10/NºAsuntos!E10)-Datos!BD10)/Datos!BD10," - ")</f>
        <v>0.14285714285714285</v>
      </c>
      <c r="I10" s="515">
        <f>IF(ISNUMBER(((NºAsuntos!I10/NºAsuntos!G10)-Datos!BE10)/Datos!BE10),((NºAsuntos!I10/NºAsuntos!G10)-Datos!BE10)/Datos!BE10," - ")</f>
        <v>-0.12500000000000003</v>
      </c>
      <c r="J10" s="521">
        <f>IF(ISNUMBER((('Resol  Asuntos'!D10/NºAsuntos!G10)-Datos!BF10)/Datos!BF10),(('Resol  Asuntos'!D10/NºAsuntos!G10)-Datos!BF10)/Datos!BF10," - ")</f>
        <v>-1</v>
      </c>
      <c r="K10" s="522">
        <f>IF(ISNUMBER((((NºAsuntos!C10+NºAsuntos!E10)/NºAsuntos!G10)-Datos!BG10)/Datos!BG10),(((NºAsuntos!C10+NºAsuntos!E10)/NºAsuntos!G10)-Datos!BG10)/Datos!BG10," - ")</f>
        <v>-7.3529411764705815E-2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6.8673565380997184E-2</v>
      </c>
      <c r="C12" s="515">
        <f>IF(ISNUMBER(
   IF(J_V="SI",(Datos!J12-Datos!T12)/Datos!T12,(Datos!J12+Datos!Z12-(Datos!T12+Datos!AH12))/(Datos!T12+Datos!AH12))
     ),IF(J_V="SI",(Datos!J12-Datos!T12)/Datos!T12,(Datos!J12+Datos!Z12-(Datos!T12+Datos!AH12))/(Datos!T12+Datos!AH12))," - ")</f>
        <v>0.10982658959537572</v>
      </c>
      <c r="D12" s="515">
        <f>IF(ISNUMBER(
   IF(J_V="SI",(Datos!K12-Datos!U12)/Datos!U12,(Datos!K12+Datos!AA12-(Datos!U12+Datos!AI12))/(Datos!U12+Datos!AI12))
     ),IF(J_V="SI",(Datos!K12-Datos!U12)/Datos!U12,(Datos!K12+Datos!AA12-(Datos!U12+Datos!AI12))/(Datos!U12+Datos!AI12))," - ")</f>
        <v>-0.11294765840220386</v>
      </c>
      <c r="E12" s="515">
        <f>IF(ISNUMBER(
   IF(J_V="SI",(Datos!L12-Datos!V12)/Datos!V12,(Datos!L12+Datos!AB12-(Datos!V12+Datos!AJ12))/(Datos!V12+Datos!AJ12))
     ),IF(J_V="SI",(Datos!L12-Datos!V12)/Datos!V12,(Datos!L12+Datos!AB12-(Datos!V12+Datos!AJ12))/(Datos!V12+Datos!AJ12))," - ")</f>
        <v>0.14531548757170173</v>
      </c>
      <c r="F12" s="515">
        <f>IF(ISNUMBER((Datos!M12-Datos!W12)/Datos!W12),(Datos!M12-Datos!W12)/Datos!W12," - ")</f>
        <v>-0.31168831168831168</v>
      </c>
      <c r="G12" s="516">
        <f>IF(ISNUMBER((Datos!N12-Datos!X12)/Datos!X12),(Datos!N12-Datos!X12)/Datos!X12," - ")</f>
        <v>1.8181818181818181E-2</v>
      </c>
      <c r="H12" s="514">
        <f>IF(ISNUMBER(((NºAsuntos!G12/NºAsuntos!E12)-Datos!BD12)/Datos!BD12),((NºAsuntos!G12/NºAsuntos!E12)-Datos!BD12)/Datos!BD12," - ")</f>
        <v>-0.20072887970615239</v>
      </c>
      <c r="I12" s="515">
        <f>IF(ISNUMBER(((NºAsuntos!I12/NºAsuntos!G12)-Datos!BE12)/Datos!BE12),((NºAsuntos!I12/NºAsuntos!G12)-Datos!BE12)/Datos!BE12," - ")</f>
        <v>0.29114758381530348</v>
      </c>
      <c r="J12" s="521">
        <f>IF(ISNUMBER((('Resol  Asuntos'!D12/NºAsuntos!G12)-Datos!BF12)/Datos!BF12),(('Resol  Asuntos'!D12/NºAsuntos!G12)-Datos!BF12)/Datos!BF12," - ")</f>
        <v>-0.45683229813664594</v>
      </c>
      <c r="K12" s="522">
        <f>IF(ISNUMBER((((NºAsuntos!C12+NºAsuntos!E12)/NºAsuntos!G12)-Datos!BG12)/Datos!BG12),(((NºAsuntos!C12+NºAsuntos!E12)/NºAsuntos!G12)-Datos!BG12)/Datos!BG12," - ")</f>
        <v>0.21613937024187896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6.2267657992565055E-2</v>
      </c>
      <c r="C14" s="1152">
        <f>IF(ISNUMBER(
   IF(J_V="SI",(Datos!J14-Datos!T14)/Datos!T14,(Datos!J14+Datos!Z14-(Datos!T14+Datos!AH14))/(Datos!T14+Datos!AH14))
     ),IF(J_V="SI",(Datos!J14-Datos!T14)/Datos!T14,(Datos!J14+Datos!Z14-(Datos!T14+Datos!AH14))/(Datos!T14+Datos!AH14))," - ")</f>
        <v>0.10285714285714286</v>
      </c>
      <c r="D14" s="1152">
        <f>IF(ISNUMBER(
   IF(J_V="SI",(Datos!K14-Datos!U14)/Datos!U14,(Datos!K14+Datos!AA14-(Datos!U14+Datos!AI14))/(Datos!U14+Datos!AI14))
     ),IF(J_V="SI",(Datos!K14-Datos!U14)/Datos!U14,(Datos!K14+Datos!AA14-(Datos!U14+Datos!AI14))/(Datos!U14+Datos!AI14))," - ")</f>
        <v>-0.11891891891891893</v>
      </c>
      <c r="E14" s="1152">
        <f>IF(ISNUMBER(
   IF(J_V="SI",(Datos!L14-Datos!V14)/Datos!V14,(Datos!L14+Datos!AB14-(Datos!V14+Datos!AJ14))/(Datos!V14+Datos!AJ14))
     ),IF(J_V="SI",(Datos!L14-Datos!V14)/Datos!V14,(Datos!L14+Datos!AB14-(Datos!V14+Datos!AJ14))/(Datos!V14+Datos!AJ14))," - ")</f>
        <v>0.13920454545454544</v>
      </c>
      <c r="F14" s="1153">
        <f>IF(ISNUMBER((Datos!M14-Datos!W14)/Datos!W14),(Datos!M14-Datos!W14)/Datos!W14," - ")</f>
        <v>-0.33750000000000002</v>
      </c>
      <c r="G14" s="1154">
        <f>IF(ISNUMBER((Datos!N14-Datos!X14)/Datos!X14),(Datos!N14-Datos!X14)/Datos!X14," - ")</f>
        <v>8.9285714285714281E-3</v>
      </c>
      <c r="H14" s="1154">
        <f>IF(ISNUMBER(((NºAsuntos!G14/NºAsuntos!E14)-Datos!BD14)/Datos!BD14),((NºAsuntos!G14/NºAsuntos!E14)-Datos!BD14)/Datos!BD14," - ")</f>
        <v>-0.20109228399383841</v>
      </c>
      <c r="I14" s="1154">
        <f>IF(ISNUMBER(((NºAsuntos!I14/NºAsuntos!G14)-Datos!BE14)/Datos!BE14),((NºAsuntos!I14/NºAsuntos!G14)-Datos!BE14)/Datos!BE14," - ")</f>
        <v>0.29296221416620177</v>
      </c>
      <c r="J14" s="1154">
        <f>IF(ISNUMBER((('Resol  Asuntos'!D14/NºAsuntos!G14)-Datos!BF14)/Datos!BF14),(('Resol  Asuntos'!D14/NºAsuntos!G14)-Datos!BF14)/Datos!BF14," - ")</f>
        <v>-0.46766925457408109</v>
      </c>
      <c r="K14" s="1154">
        <f>IF(ISNUMBER((((NºAsuntos!C14+NºAsuntos!E14)/NºAsuntos!G14)-Datos!BG14)/Datos!BG14),(((NºAsuntos!C14+NºAsuntos!E14)/NºAsuntos!G14)-Datos!BG14)/Datos!BG14," - ")</f>
        <v>0.21694817542742581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5.057471264367816E-2</v>
      </c>
      <c r="C17" s="515">
        <f>IF(ISNUMBER(
   IF(D_I="SI",(Datos!J17-Datos!T17)/Datos!T17,(Datos!J17+Datos!AD17-(Datos!T17+Datos!AL17))/(Datos!T17+Datos!AL17))
     ),IF(D_I="SI",(Datos!J17-Datos!T17)/Datos!T17,(Datos!J17+Datos!AD17-(Datos!T17+Datos!AL17))/(Datos!T17+Datos!AL17))," - ")</f>
        <v>3.6231884057971015E-3</v>
      </c>
      <c r="D17" s="515">
        <f>IF(ISNUMBER(
   IF(D_I="SI",(Datos!K17-Datos!U17)/Datos!U17,(Datos!K17+Datos!AE17-(Datos!U17+Datos!AM17))/(Datos!U17+Datos!AM17))
     ),IF(D_I="SI",(Datos!K17-Datos!U17)/Datos!U17,(Datos!K17+Datos!AE17-(Datos!U17+Datos!AM17))/(Datos!U17+Datos!AM17))," - ")</f>
        <v>-0.22847682119205298</v>
      </c>
      <c r="E17" s="515">
        <f>IF(ISNUMBER(
   IF(D_I="SI",(Datos!L17-Datos!V17)/Datos!V17,(Datos!L17+Datos!AF17-(Datos!V17+Datos!AN17))/(Datos!V17+Datos!AN17))
     ),IF(D_I="SI",(Datos!L17-Datos!V17)/Datos!V17,(Datos!L17+Datos!AF17-(Datos!V17+Datos!AN17))/(Datos!V17+Datos!AN17))," - ")</f>
        <v>0.21980676328502416</v>
      </c>
      <c r="F17" s="515">
        <f>IF(ISNUMBER((Datos!M17-Datos!W17)/Datos!W17),(Datos!M17-Datos!W17)/Datos!W17," - ")</f>
        <v>0</v>
      </c>
      <c r="G17" s="516">
        <f>IF(ISNUMBER((Datos!N17-Datos!X17)/Datos!X17),(Datos!N17-Datos!X17)/Datos!X17," - ")</f>
        <v>-0.17857142857142858</v>
      </c>
      <c r="H17" s="514">
        <f>IF(ISNUMBER(((NºAsuntos!G17/NºAsuntos!E17)-Datos!BD17)/Datos!BD17),((NºAsuntos!G17/NºAsuntos!E17)-Datos!BD17)/Datos!BD17," - ")</f>
        <v>-0.23126210342601669</v>
      </c>
      <c r="I17" s="515">
        <f>IF(ISNUMBER(((NºAsuntos!I17/NºAsuntos!G17)-Datos!BE17)/Datos!BE17),((NºAsuntos!I17/NºAsuntos!G17)-Datos!BE17)/Datos!BE17," - ")</f>
        <v>0.58103709232651213</v>
      </c>
      <c r="J17" s="521">
        <f>IF(ISNUMBER((('Resol  Asuntos'!D17/NºAsuntos!G17)-Datos!BF17)/Datos!BF17),(('Resol  Asuntos'!D17/NºAsuntos!G17)-Datos!BF17)/Datos!BF17," - ")</f>
        <v>0.29613733905579387</v>
      </c>
      <c r="K17" s="522">
        <f>IF(ISNUMBER((((NºAsuntos!C17+NºAsuntos!E17)/NºAsuntos!G17)-Datos!BG17)/Datos!BG17),(((NºAsuntos!C17+NºAsuntos!E17)/NºAsuntos!G17)-Datos!BG17)/Datos!BG17," - ")</f>
        <v>0.33806583244297156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-0.2413793103448276</v>
      </c>
      <c r="C18" s="515">
        <f>IF(ISNUMBER(
   IF(D_I="SI",(Datos!J18-Datos!T18)/Datos!T18,(Datos!J18+Datos!AD18-(Datos!T18+Datos!AL18))/(Datos!T18+Datos!AL18))
     ),IF(D_I="SI",(Datos!J18-Datos!T18)/Datos!T18,(Datos!J18+Datos!AD18-(Datos!T18+Datos!AL18))/(Datos!T18+Datos!AL18))," - ")</f>
        <v>-0.12121212121212122</v>
      </c>
      <c r="D18" s="515">
        <f>IF(ISNUMBER(
   IF(D_I="SI",(Datos!K18-Datos!U18)/Datos!U18,(Datos!K18+Datos!AE18-(Datos!U18+Datos!AM18))/(Datos!U18+Datos!AM18))
     ),IF(D_I="SI",(Datos!K18-Datos!U18)/Datos!U18,(Datos!K18+Datos!AE18-(Datos!U18+Datos!AM18))/(Datos!U18+Datos!AM18))," - ")</f>
        <v>-0.4358974358974359</v>
      </c>
      <c r="E18" s="515">
        <f>IF(ISNUMBER(
   IF(D_I="SI",(Datos!L18-Datos!V18)/Datos!V18,(Datos!L18+Datos!AF18-(Datos!V18+Datos!AN18))/(Datos!V18+Datos!AN18))
     ),IF(D_I="SI",(Datos!L18-Datos!V18)/Datos!V18,(Datos!L18+Datos!AF18-(Datos!V18+Datos!AN18))/(Datos!V18+Datos!AN18))," - ")</f>
        <v>-3.7735849056603772E-2</v>
      </c>
      <c r="F18" s="515">
        <f>IF(ISNUMBER((Datos!M18-Datos!W18)/Datos!W18),(Datos!M18-Datos!W18)/Datos!W18," - ")</f>
        <v>1</v>
      </c>
      <c r="G18" s="516">
        <f>IF(ISNUMBER((Datos!N18-Datos!X18)/Datos!X18),(Datos!N18-Datos!X18)/Datos!X18," - ")</f>
        <v>-0.31578947368421051</v>
      </c>
      <c r="H18" s="514">
        <f>IF(ISNUMBER(((NºAsuntos!G18/NºAsuntos!E18)-Datos!BD18)/Datos!BD18),((NºAsuntos!G18/NºAsuntos!E18)-Datos!BD18)/Datos!BD18," - ")</f>
        <v>-0.35809018567639261</v>
      </c>
      <c r="I18" s="515">
        <f>IF(ISNUMBER(((NºAsuntos!I18/NºAsuntos!G18)-Datos!BE18)/Datos!BE18),((NºAsuntos!I18/NºAsuntos!G18)-Datos!BE18)/Datos!BE18," - ")</f>
        <v>0.70583190394511153</v>
      </c>
      <c r="J18" s="521">
        <f>IF(ISNUMBER((('Resol  Asuntos'!D18/NºAsuntos!G18)-Datos!BF18)/Datos!BF18),(('Resol  Asuntos'!D18/NºAsuntos!G18)-Datos!BF18)/Datos!BF18," - ")</f>
        <v>2.5454545454545459</v>
      </c>
      <c r="K18" s="522">
        <f>IF(ISNUMBER((((NºAsuntos!C18+NºAsuntos!E18)/NºAsuntos!G18)-Datos!BG18)/Datos!BG18),(((NºAsuntos!C18+NºAsuntos!E18)/NºAsuntos!G18)-Datos!BG18)/Datos!BG18," - ")</f>
        <v>0.42207792207792205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1.6227180527383367E-2</v>
      </c>
      <c r="C23" s="1152">
        <f>IF(ISNUMBER(
   IF(Criterios!B14="SI",(Datos!J23-Datos!T23)/Datos!T23,(Datos!J23+Datos!AD23-(Datos!T23+Datos!AL23))/(Datos!T23+Datos!AL23))
     ),IF(Criterios!B14="SI",(Datos!J23-Datos!T23)/Datos!T23,(Datos!J23+Datos!AD23-(Datos!T23+Datos!AL23))/(Datos!T23+Datos!AL23))," - ")</f>
        <v>-9.7087378640776691E-3</v>
      </c>
      <c r="D23" s="1152">
        <f>IF(ISNUMBER(
   IF(Criterios!B14="SI",(Datos!K23-Datos!U23)/Datos!U23,(Datos!K23+Datos!AE23-(Datos!U23+Datos!AM23))/(Datos!U23+Datos!AM23))
     ),IF(Criterios!B14="SI",(Datos!K23-Datos!U23)/Datos!U23,(Datos!K23+Datos!AE23-(Datos!U23+Datos!AM23))/(Datos!U23+Datos!AM23))," - ")</f>
        <v>-0.25219941348973607</v>
      </c>
      <c r="E23" s="1152">
        <f>IF(ISNUMBER(
   IF(Criterios!B14="SI",(Datos!L23-Datos!V23)/Datos!V23,(Datos!L23+Datos!AF23-(Datos!V23+Datos!AN23))/(Datos!V23+Datos!AN23))
     ),IF(Criterios!B14="SI",(Datos!L23-Datos!V23)/Datos!V23,(Datos!L23+Datos!AF23-(Datos!V23+Datos!AN23))/(Datos!V23+Datos!AN23))," - ")</f>
        <v>0.19057815845824411</v>
      </c>
      <c r="F23" s="1153">
        <f>IF(ISNUMBER((Datos!M23-Datos!W23)/Datos!W23),(Datos!M23-Datos!W23)/Datos!W23," - ")</f>
        <v>2.564102564102564E-2</v>
      </c>
      <c r="G23" s="1154">
        <f>IF(ISNUMBER((Datos!N23-Datos!X23)/Datos!X23),(Datos!N23-Datos!X23)/Datos!X23," - ")</f>
        <v>-0.19251336898395721</v>
      </c>
      <c r="H23" s="1154">
        <f>IF(ISNUMBER(((NºAsuntos!G23/NºAsuntos!E23)-Datos!BD23)/Datos!BD23),((NºAsuntos!G23/NºAsuntos!E23)-Datos!BD23)/Datos!BD23," - ")</f>
        <v>-0.24486803519061587</v>
      </c>
      <c r="I23" s="1154">
        <f>IF(ISNUMBER(((NºAsuntos!I23/NºAsuntos!G23)-Datos!BE23)/Datos!BE23),((NºAsuntos!I23/NºAsuntos!G23)-Datos!BE23)/Datos!BE23," - ")</f>
        <v>0.59210647856573029</v>
      </c>
      <c r="J23" s="1154">
        <f>IF(ISNUMBER((('Resol  Asuntos'!D23/NºAsuntos!G23)-Datos!BF23)/Datos!BF23),(('Resol  Asuntos'!D23/NºAsuntos!G23)-Datos!BF23)/Datos!BF23," - ")</f>
        <v>0.37154348919054803</v>
      </c>
      <c r="K23" s="1154">
        <f>IF(ISNUMBER((((NºAsuntos!C23+NºAsuntos!E23)/NºAsuntos!G23)-Datos!BG23)/Datos!BG23),(((NºAsuntos!C23+NºAsuntos!E23)/NºAsuntos!G23)-Datos!BG23)/Datos!BG23," - ")</f>
        <v>0.3455919025964499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4.780114722753346E-2</v>
      </c>
      <c r="C31" s="1092">
        <f>IF(ISNUMBER(
   IF(J_V="SI",(Datos!J31-Datos!T31)/Datos!T31,(Datos!J31+Datos!Z31-(Datos!T31+Datos!AH31))/(Datos!T31+Datos!AH31))
     ),IF(J_V="SI",(Datos!J31-Datos!T31)/Datos!T31,(Datos!J31+Datos!Z31-(Datos!T31+Datos!AH31))/(Datos!T31+Datos!AH31))," - ")</f>
        <v>5.007587253414264E-2</v>
      </c>
      <c r="D31" s="1092">
        <f>IF(ISNUMBER(
   IF(J_V="SI",(Datos!K31-Datos!U31)/Datos!U31,(Datos!K31+Datos!AA31-(Datos!U31+Datos!AI31))/(Datos!U31+Datos!AI31))
     ),IF(J_V="SI",(Datos!K31-Datos!U31)/Datos!U31,(Datos!K31+Datos!AA31-(Datos!U31+Datos!AI31))/(Datos!U31+Datos!AI31))," - ")</f>
        <v>-0.18284106891701829</v>
      </c>
      <c r="E31" s="1092">
        <f>IF(ISNUMBER(
   IF(J_V="SI",(Datos!L31-Datos!V31)/Datos!V31,(Datos!L31+Datos!AB31-(Datos!V31+Datos!AJ31))/(Datos!V31+Datos!AJ31))
     ),IF(J_V="SI",(Datos!L31-Datos!V31)/Datos!V31,(Datos!L31+Datos!AB31-(Datos!V31+Datos!AJ31))/(Datos!V31+Datos!AJ31))," - ")</f>
        <v>0.15495732107682206</v>
      </c>
      <c r="F31" s="1093">
        <f>IF(ISNUMBER((Datos!M31-Datos!W31)/Datos!W31),(Datos!M31-Datos!W31)/Datos!W31," - ")</f>
        <v>-0.21848739495798319</v>
      </c>
      <c r="G31" s="1094">
        <f>IF(ISNUMBER((Datos!N31-Datos!X31)/Datos!X31),(Datos!N31-Datos!X31)/Datos!X31," - ")</f>
        <v>-0.11705685618729098</v>
      </c>
      <c r="H31" s="1095">
        <f>IF(ISNUMBER((Tasas!B31-Datos!BD31)/Datos!BD31),(Tasas!B31-Datos!BD31)/Datos!BD31," - ")</f>
        <v>-0.22180963065941472</v>
      </c>
      <c r="I31" s="1096">
        <f>IF(ISNUMBER((Tasas!C31-Datos!BE31)/Datos!BE31),(Tasas!C31-Datos!BE31)/Datos!BE31," - ")</f>
        <v>0.41338150651569794</v>
      </c>
      <c r="J31" s="1097">
        <f>IF(ISNUMBER((Tasas!D31-Datos!BF31)/Datos!BF31),(Tasas!D31-Datos!BF31)/Datos!BF31," - ")</f>
        <v>-0.25125690732856237</v>
      </c>
      <c r="K31" s="1097">
        <f>IF(ISNUMBER((Tasas!E31-Datos!BG31)/Datos!BG31),(Tasas!E31-Datos!BG31)/Datos!BG31," - ")</f>
        <v>0.28307227370626392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iIg0L8HvHHJOSLOyXXW4DgC42tpFtYzolHvfnHaf+6qDY5t9N6pkh9Uty/lGcna9wEc4R+8fcM5TCA+RA2vYw==" saltValue="bFHEJmFPzZqlr0CNp593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BERGA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1.25</v>
      </c>
      <c r="D10" s="499">
        <f>IF(ISNUMBER('Resol  Asuntos'!D10/NºAsuntos!G10),'Resol  Asuntos'!D10/NºAsuntos!G10," - ")</f>
        <v>0</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0.83854166666666663</v>
      </c>
      <c r="C12" s="498">
        <f>IF(ISNUMBER(NºAsuntos!I12/NºAsuntos!G12),NºAsuntos!I12/NºAsuntos!G12," - ")</f>
        <v>3.7204968944099379</v>
      </c>
      <c r="D12" s="499">
        <f>IF(ISNUMBER('Resol  Asuntos'!D12/NºAsuntos!G12),'Resol  Asuntos'!D12/NºAsuntos!G12," - ")</f>
        <v>0.16459627329192547</v>
      </c>
      <c r="E12" s="500">
        <f>IF(ISNUMBER((NºAsuntos!C12+NºAsuntos!E12)/NºAsuntos!G12),(NºAsuntos!C12+NºAsuntos!E12)/NºAsuntos!G12," - ")</f>
        <v>4.7204968944099379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0.84455958549222798</v>
      </c>
      <c r="C14" s="1156">
        <f>IF(ISNUMBER(NºAsuntos!I14/NºAsuntos!G14),NºAsuntos!I14/NºAsuntos!G14," - ")</f>
        <v>3.6901840490797544</v>
      </c>
      <c r="D14" s="1157">
        <f>IF(ISNUMBER('Resol  Asuntos'!D14/NºAsuntos!G14),'Resol  Asuntos'!D14/NºAsuntos!G14," - ")</f>
        <v>0.16257668711656442</v>
      </c>
      <c r="E14" s="1158">
        <f>IF(ISNUMBER((NºAsuntos!C14+NºAsuntos!E14)/NºAsuntos!G14),(NºAsuntos!C14+NºAsuntos!E14)/NºAsuntos!G14," - ")</f>
        <v>4.6901840490797548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0.84115523465703967</v>
      </c>
      <c r="C17" s="498">
        <f>IF(ISNUMBER(NºAsuntos!I17/NºAsuntos!G17),NºAsuntos!I17/NºAsuntos!G17," - ")</f>
        <v>2.1673819742489271</v>
      </c>
      <c r="D17" s="499">
        <f>IF(ISNUMBER('Resol  Asuntos'!D17/NºAsuntos!G17),'Resol  Asuntos'!D17/NºAsuntos!G17," - ")</f>
        <v>0.1630901287553648</v>
      </c>
      <c r="E17" s="500">
        <f>IF(ISNUMBER((NºAsuntos!C17+NºAsuntos!E17)/NºAsuntos!G17),(NºAsuntos!C17+NºAsuntos!E17)/NºAsuntos!G17," - ")</f>
        <v>3.1502145922746783</v>
      </c>
      <c r="G17" s="523"/>
    </row>
    <row r="18" spans="1:7">
      <c r="A18" s="450" t="str">
        <f>Datos!A18</f>
        <v>Jdos. Violencia contra la mujer</v>
      </c>
      <c r="B18" s="497">
        <f>IF(ISNUMBER(NºAsuntos!G18/NºAsuntos!E18),NºAsuntos!G18/NºAsuntos!E18," - ")</f>
        <v>0.75862068965517238</v>
      </c>
      <c r="C18" s="498">
        <f>IF(ISNUMBER(NºAsuntos!I18/NºAsuntos!G18),NºAsuntos!I18/NºAsuntos!G18," - ")</f>
        <v>2.3181818181818183</v>
      </c>
      <c r="D18" s="499">
        <f>IF(ISNUMBER('Resol  Asuntos'!D18/NºAsuntos!G18),'Resol  Asuntos'!D18/NºAsuntos!G18," - ")</f>
        <v>9.0909090909090912E-2</v>
      </c>
      <c r="E18" s="500">
        <f>IF(ISNUMBER((NºAsuntos!C18+NºAsuntos!E18)/NºAsuntos!G18),(NºAsuntos!C18+NºAsuntos!E18)/NºAsuntos!G18," - ")</f>
        <v>3.3181818181818183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0.83333333333333337</v>
      </c>
      <c r="C23" s="1156">
        <f>IF(ISNUMBER(NºAsuntos!I23/NºAsuntos!G23),NºAsuntos!I23/NºAsuntos!G23," - ")</f>
        <v>2.1803921568627449</v>
      </c>
      <c r="D23" s="1159">
        <f>IF(ISNUMBER('Resol  Asuntos'!D23/NºAsuntos!G23),'Resol  Asuntos'!D23/NºAsuntos!G23," - ")</f>
        <v>0.15686274509803921</v>
      </c>
      <c r="E23" s="1158">
        <f>IF(ISNUMBER((NºAsuntos!C23+NºAsuntos!E23)/NºAsuntos!G23),(NºAsuntos!C23+NºAsuntos!E23)/NºAsuntos!G23," - ")</f>
        <v>3.164705882352941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0.83959537572254339</v>
      </c>
      <c r="C31" s="1099">
        <f>IF(ISNUMBER(NºAsuntos!I31/NºAsuntos!G31),NºAsuntos!I31/NºAsuntos!G31," - ")</f>
        <v>3.0275387263339071</v>
      </c>
      <c r="D31" s="1100">
        <f>IF(ISNUMBER('Resol  Asuntos'!D31/NºAsuntos!G31),'Resol  Asuntos'!D31/NºAsuntos!G31," - ")</f>
        <v>0.16006884681583478</v>
      </c>
      <c r="E31" s="1101">
        <f>IF(ISNUMBER((NºAsuntos!C31+NºAsuntos!E31)/NºAsuntos!G31),(NºAsuntos!C31+NºAsuntos!E31)/NºAsuntos!G31," - ")</f>
        <v>4.0206540447504304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2Y4aG+ZrWq5YCP0eJoCX/lF+NGikvbJAavfZvVpjDoaeCYT2wYlkpA3ruifg3hpFt4EcrrEcjCc0x/14u0nHg==" saltValue="HnG4LBNcuo6uknWl8HUy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BERGA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14</v>
      </c>
      <c r="Y10" s="374">
        <f t="shared" ref="Y10:Y13" si="0">SUM(W10:X10)</f>
        <v>18</v>
      </c>
      <c r="Z10" s="375" t="str">
        <f>IF(ISNUMBER(Datos!CC10),Datos!CC10," - ")</f>
        <v xml:space="preserve"> - </v>
      </c>
      <c r="AA10" s="372">
        <f>IF(ISNUMBER(Datos!L10),Datos!L10,"-")</f>
        <v>5</v>
      </c>
      <c r="AB10" s="374">
        <f>IF(ISNUMBER(Datos!R10),Datos!R10," - ")</f>
        <v>18</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3.75</v>
      </c>
      <c r="AN10" s="267">
        <f>IF(ISNUMBER('Resol  Asuntos'!D10/NºAsuntos!G10),'Resol  Asuntos'!D10/NºAsuntos!G10," - ")</f>
        <v>0</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301</v>
      </c>
      <c r="Y12" s="374">
        <f t="shared" si="0"/>
        <v>301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v>
      </c>
      <c r="AJ12" s="243" t="str">
        <f>IF(ISNUMBER(Datos!BW12),Datos!BW12," - ")</f>
        <v xml:space="preserve"> - </v>
      </c>
      <c r="AK12" s="242" t="str">
        <f>IF(ISNUMBER(Datos!BX12),Datos!BX12," - ")</f>
        <v xml:space="preserve"> - </v>
      </c>
      <c r="AL12" s="266">
        <f>IF(ISNUMBER(NºAsuntos!G12/NºAsuntos!E12),NºAsuntos!G12/NºAsuntos!E12," - ")</f>
        <v>0.83854166666666663</v>
      </c>
      <c r="AM12" s="284">
        <f>IF(ISNUMBER(((NºAsuntos!I12/NºAsuntos!G12)*11)/factor_trimestre),((NºAsuntos!I12/NºAsuntos!G12)*11)/factor_trimestre," - ")</f>
        <v>11.161490683229815</v>
      </c>
      <c r="AN12" s="267">
        <f>IF(ISNUMBER('Resol  Asuntos'!D12/NºAsuntos!G12),'Resol  Asuntos'!D12/NºAsuntos!G12," - ")</f>
        <v>0.16459627329192547</v>
      </c>
      <c r="AO12" s="268">
        <f>IF(ISNUMBER((NºAsuntos!C12+NºAsuntos!E12)/NºAsuntos!G12),(NºAsuntos!C12+NºAsuntos!E12)/NºAsuntos!G12," - ")</f>
        <v>4.7204968944099379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315</v>
      </c>
      <c r="Y14" s="1165">
        <f t="shared" si="6"/>
        <v>319</v>
      </c>
      <c r="Z14" s="1165">
        <f t="shared" si="6"/>
        <v>0</v>
      </c>
      <c r="AA14" s="1165">
        <f t="shared" si="6"/>
        <v>5</v>
      </c>
      <c r="AB14" s="1165">
        <f t="shared" si="6"/>
        <v>2001</v>
      </c>
      <c r="AC14" s="1165">
        <f t="shared" si="6"/>
        <v>23</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0.84455958549222798</v>
      </c>
      <c r="AM14" s="1171">
        <f>IF(ISNUMBER(((NºAsuntos!I14/NºAsuntos!G14)*11)/factor_trimestre),((NºAsuntos!I14/NºAsuntos!G14)*11)/factor_trimestre," - ")</f>
        <v>11.070552147239264</v>
      </c>
      <c r="AN14" s="1172">
        <f>IF(ISNUMBER('Resol  Asuntos'!D14/NºAsuntos!G14),'Resol  Asuntos'!D14/NºAsuntos!G14," - ")</f>
        <v>0.16257668711656442</v>
      </c>
      <c r="AO14" s="1173">
        <f>IF(ISNUMBER((NºAsuntos!C14+NºAsuntos!E14)/NºAsuntos!G14),(NºAsuntos!C14+NºAsuntos!E14)/NºAsuntos!G14," - ")</f>
        <v>4.6901840490797548</v>
      </c>
      <c r="AP14" s="1174" t="str">
        <f t="shared" si="2"/>
        <v xml:space="preserve"> - </v>
      </c>
      <c r="AQ14" s="1174">
        <f>IF(ISNUMBER((H14-W14+K14)/(F14)),(H14-W14+K14)/(F14)," - ")</f>
        <v>-0.5714285714285714</v>
      </c>
      <c r="AR14" s="1175">
        <f>IF(ISNUMBER((Datos!P14-Datos!Q14)/(Datos!R14-Datos!P14+Datos!Q14)),(Datos!P14-Datos!Q14)/(Datos!R14-Datos!P14+Datos!Q14)," - ")</f>
        <v>-9.9459945994599466E-2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461</v>
      </c>
      <c r="G17" s="373">
        <f>IF(ISNUMBER(IF(D_I="SI",Datos!I17,Datos!I17+Datos!AC17)),IF(D_I="SI",Datos!I17,Datos!I17+Datos!AC17)," - ")</f>
        <v>457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233</v>
      </c>
      <c r="X17" s="240">
        <f>IF(ISNUMBER(Datos!Q17),Datos!Q17," - ")</f>
        <v>6</v>
      </c>
      <c r="Y17" s="374">
        <f t="shared" ref="Y17:Y22" si="9">SUM(W17:X17)</f>
        <v>239</v>
      </c>
      <c r="Z17" s="375" t="str">
        <f>IF(ISNUMBER(Datos!CC17),Datos!CC17," - ")</f>
        <v xml:space="preserve"> - </v>
      </c>
      <c r="AA17" s="372">
        <f>IF(ISNUMBER(IF(D_I="SI",Datos!L17,Datos!L17+Datos!AF17)),IF(D_I="SI",Datos!L17,Datos!L17+Datos!AF17)," - ")</f>
        <v>505</v>
      </c>
      <c r="AB17" s="374">
        <f>IF(ISNUMBER(Datos!R17),Datos!R17," - ")</f>
        <v>64</v>
      </c>
      <c r="AC17" s="374">
        <f t="shared" si="8"/>
        <v>569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0.84115523465703967</v>
      </c>
      <c r="AM17" s="284">
        <f>IF(ISNUMBER(((NºAsuntos!I17/NºAsuntos!G17)*11)/factor_trimestre),((NºAsuntos!I17/NºAsuntos!G17)*11)/factor_trimestre," - ")</f>
        <v>6.5021459227467817</v>
      </c>
      <c r="AN17" s="267">
        <f>IF(ISNUMBER('Resol  Asuntos'!D17/NºAsuntos!G17),'Resol  Asuntos'!D17/NºAsuntos!G17," - ")</f>
        <v>0.1630901287553648</v>
      </c>
      <c r="AO17" s="268">
        <f>IF(ISNUMBER((NºAsuntos!C17+NºAsuntos!E17)/NºAsuntos!G17),(NºAsuntos!C17+NºAsuntos!E17)/NºAsuntos!G17," - ")</f>
        <v>3.1502145922746783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0.75862068965517238</v>
      </c>
      <c r="AM18" s="284">
        <f>IF(ISNUMBER(((NºAsuntos!I18/NºAsuntos!G18)*11)/factor_trimestre),((NºAsuntos!I18/NºAsuntos!G18)*11)/factor_trimestre," - ")</f>
        <v>6.954545454545455</v>
      </c>
      <c r="AN18" s="267">
        <f>IF(ISNUMBER('Resol  Asuntos'!D18/NºAsuntos!G18),'Resol  Asuntos'!D18/NºAsuntos!G18," - ")</f>
        <v>9.0909090909090912E-2</v>
      </c>
      <c r="AO18" s="268">
        <f>IF(ISNUMBER((NºAsuntos!C18+NºAsuntos!E18)/NºAsuntos!G18),(NºAsuntos!C18+NºAsuntos!E18)/NºAsuntos!G18," - ")</f>
        <v>3.3181818181818183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461</v>
      </c>
      <c r="G23" s="1163">
        <f>SUBTOTAL(9,G16:G22)</f>
        <v>501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255</v>
      </c>
      <c r="X23" s="1164">
        <f t="shared" si="14"/>
        <v>6</v>
      </c>
      <c r="Y23" s="1165">
        <f t="shared" si="14"/>
        <v>261</v>
      </c>
      <c r="Z23" s="1165">
        <f t="shared" si="14"/>
        <v>0</v>
      </c>
      <c r="AA23" s="1165">
        <f t="shared" si="14"/>
        <v>556</v>
      </c>
      <c r="AB23" s="1165">
        <f t="shared" si="14"/>
        <v>64</v>
      </c>
      <c r="AC23" s="1165">
        <f t="shared" si="14"/>
        <v>620</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0.83333333333333337</v>
      </c>
      <c r="AM23" s="1171">
        <f>IF(ISNUMBER(((NºAsuntos!I23/NºAsuntos!G23)*11)/factor_trimestre),((NºAsuntos!I23/NºAsuntos!G23)*11)/factor_trimestre," - ")</f>
        <v>6.5411764705882343</v>
      </c>
      <c r="AN23" s="1172">
        <f>IF(ISNUMBER('Resol  Asuntos'!D23/NºAsuntos!G23),'Resol  Asuntos'!D23/NºAsuntos!G23," - ")</f>
        <v>0.15686274509803921</v>
      </c>
      <c r="AO23" s="1173">
        <f>IF(ISNUMBER((NºAsuntos!C23+NºAsuntos!E23)/NºAsuntos!G23),(NºAsuntos!C23+NºAsuntos!E23)/NºAsuntos!G23," - ")</f>
        <v>3.164705882352941</v>
      </c>
      <c r="AP23" s="1174" t="str">
        <f t="shared" si="2"/>
        <v xml:space="preserve"> - </v>
      </c>
      <c r="AQ23" s="1174">
        <f>IF(ISNUMBER((H23-W23+K23)/(F23)),(H23-W23+K23)/(F23)," - ")</f>
        <v>-0.55314533622559658</v>
      </c>
      <c r="AR23" s="1175">
        <f>IF(ISNUMBER((Datos!P23-Datos!Q23)/(Datos!R23-Datos!P23+Datos!Q23)),(Datos!P23-Datos!Q23)/(Datos!R23-Datos!P23+Datos!Q23)," - ")</f>
        <v>-8.5714285714285715E-2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468</v>
      </c>
      <c r="G31" s="1118">
        <f t="shared" si="20"/>
        <v>508</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259</v>
      </c>
      <c r="X31" s="1118">
        <f t="shared" si="21"/>
        <v>321</v>
      </c>
      <c r="Y31" s="1125">
        <f t="shared" si="21"/>
        <v>580</v>
      </c>
      <c r="Z31" s="1125">
        <f t="shared" si="21"/>
        <v>0</v>
      </c>
      <c r="AA31" s="1125">
        <f t="shared" si="21"/>
        <v>561</v>
      </c>
      <c r="AB31" s="1125">
        <f t="shared" si="21"/>
        <v>2065</v>
      </c>
      <c r="AC31" s="1125">
        <f t="shared" si="21"/>
        <v>643</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0.83959537572254339</v>
      </c>
      <c r="AM31" s="1184">
        <f>IF(ISNUMBER(((NºAsuntos!I31/NºAsuntos!G31)*11)/factor_trimestre),((NºAsuntos!I31/NºAsuntos!G31)*11)/factor_trimestre," - ")</f>
        <v>9.0826161790017217</v>
      </c>
      <c r="AN31" s="1184">
        <f>IF(ISNUMBER('Resol  Asuntos'!D31/NºAsuntos!G31),'Resol  Asuntos'!D31/NºAsuntos!G31," - ")</f>
        <v>0.16006884681583478</v>
      </c>
      <c r="AO31" s="1185">
        <f>IF(ISNUMBER((NºAsuntos!C31+NºAsuntos!E31)/NºAsuntos!G31),(NºAsuntos!C31+NºAsuntos!E31)/NºAsuntos!G31," - ")</f>
        <v>4.0206540447504304</v>
      </c>
      <c r="AP31" s="1186" t="str">
        <f t="shared" si="2"/>
        <v xml:space="preserve"> - </v>
      </c>
      <c r="AQ31" s="1187">
        <f>IF(OR(ISNUMBER(FIND("01",Criterios!A8,1)),ISNUMBER(FIND("02",Criterios!A8,1)),ISNUMBER(FIND("03",Criterios!A8,1)),ISNUMBER(FIND("04",Criterios!A8,1))),(I31-W31+K31)/(F31-K31),(H31-W31+K31)/(F31-K31))</f>
        <v>-0.55341880341880345</v>
      </c>
      <c r="AR31" s="1188">
        <f>IF(ISNUMBER((Datos!P31-Datos!Q31)/(Datos!R31-Datos!P31+Datos!Q31)),(Datos!P31-Datos!Q31)/(Datos!R31-Datos!P31+Datos!Q31)," - ")</f>
        <v>-9.9040139616055844E-2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236.27272377487844</v>
      </c>
      <c r="G33" s="277">
        <f>IF(ISNUMBER(STDEV(G8:G30)),STDEV(G8:G30),"-")</f>
        <v>228.91732755984825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116.54612820681776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24.904101784932653</v>
      </c>
      <c r="AJ33" s="276">
        <f t="shared" si="25"/>
        <v>0</v>
      </c>
      <c r="AK33" s="278">
        <f t="shared" si="25"/>
        <v>0</v>
      </c>
      <c r="AL33" s="273">
        <f t="shared" si="25"/>
        <v>0.4815086937569194</v>
      </c>
      <c r="AM33" s="274">
        <f t="shared" si="25"/>
        <v>2.9075899006271366</v>
      </c>
      <c r="AN33" s="274">
        <f t="shared" si="25"/>
        <v>6.6647271942791311E-2</v>
      </c>
      <c r="AO33" s="275">
        <f t="shared" si="25"/>
        <v>0.9718123072883752</v>
      </c>
      <c r="AP33" s="317" t="str">
        <f t="shared" si="25"/>
        <v>-</v>
      </c>
      <c r="AQ33" s="318">
        <f t="shared" si="25"/>
        <v>1.2928199594052094E-2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ZAY+Z4h2owX/5sL58puj+USezr+Yp7RYBE5+728ap+Bssn5oyDX6R/b1T2ULw1CkYMxThLmv4eQe+O0I8QQdQ==" saltValue="f3lxTDmA72UVw4zN1m42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BERGA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-0.46153846153846156</v>
      </c>
      <c r="E10" s="393">
        <f>IF(ISNUMBER((Datos!J10-Datos!T10)/Datos!T10),(Datos!J10-Datos!T10)/Datos!T10," - ")</f>
        <v>-0.5</v>
      </c>
      <c r="F10" s="393">
        <f>IF(ISNUMBER((Datos!K10-Datos!U10)/Datos!U10),(Datos!K10-Datos!U10)/Datos!U10," - ")</f>
        <v>-0.42857142857142855</v>
      </c>
      <c r="G10" s="394">
        <f>IF(ISNUMBER((Datos!L10-Datos!V10)/Datos!V10),(Datos!L10-Datos!V10)/Datos!V10," - ")</f>
        <v>-0.5</v>
      </c>
      <c r="H10" s="244">
        <f>IF(ISNUMBER((Datos!M10-Datos!W10)/Datos!W10),(Datos!M10-Datos!W10)/Datos!W10," - ")</f>
        <v>-1</v>
      </c>
      <c r="I10" s="395">
        <f>IF(ISNUMBER((Tasas!C10-Datos!BE10)/Datos!BE10),(Tasas!C10-Datos!BE10)/Datos!BE10," - ")</f>
        <v>-0.12500000000000003</v>
      </c>
      <c r="J10" s="394">
        <f>IF(ISNUMBER((Tasas!D10-Datos!BF10)/Datos!BF10),(Tasas!D10-Datos!BF10)/Datos!BF10," - ")</f>
        <v>-1</v>
      </c>
      <c r="K10" s="396">
        <f>IF(ISNUMBER((Tasas!E10-Datos!BG10)/Datos!BG10),(Tasas!E10-Datos!BG10)/Datos!BG10," - ")</f>
        <v>-7.3529411764705815E-2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-0.31168831168831168</v>
      </c>
      <c r="I12" s="395">
        <f>IF(ISNUMBER((Tasas!C12-Datos!BE12)/Datos!BE12),(Tasas!C12-Datos!BE12)/Datos!BE12," - ")</f>
        <v>0.29114758381530348</v>
      </c>
      <c r="J12" s="394">
        <f>IF(ISNUMBER((Tasas!D12-Datos!BF12)/Datos!BF12),(Tasas!D12-Datos!BF12)/Datos!BF12," - ")</f>
        <v>-0.45683229813664594</v>
      </c>
      <c r="K12" s="396">
        <f>IF(ISNUMBER((Tasas!E12-Datos!BG12)/Datos!BG12),(Tasas!E12-Datos!BG12)/Datos!BG12," - ")</f>
        <v>0.21613937024187896</v>
      </c>
      <c r="M12" t="e">
        <f>IF(Monitorios="SI",Datos!CE12,0)</f>
        <v>#REF!</v>
      </c>
      <c r="N12" t="e">
        <f>IF(Monitorios="SI",Datos!CF12,0)</f>
        <v>#REF!</v>
      </c>
      <c r="O12" t="e">
        <f>IF(Monitorios="SI",Datos!CG12,0)</f>
        <v>#REF!</v>
      </c>
      <c r="P12" t="e">
        <f>IF(Monitorios="SI",Datos!CH12,0)</f>
        <v>#REF!</v>
      </c>
      <c r="Q12">
        <f>IF(J_V="SI",0,Datos!AG12)</f>
        <v>28</v>
      </c>
      <c r="R12">
        <f>IF(J_V="SI",0,Datos!AH12)</f>
        <v>13</v>
      </c>
      <c r="S12">
        <f>IF(J_V="SI",0,Datos!AI12)</f>
        <v>12</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-0.33750000000000002</v>
      </c>
      <c r="I14" s="402">
        <f>IF(ISNUMBER((Tasas!C14-Datos!BE14)/Datos!BE14),(Tasas!C14-Datos!BE14)/Datos!BE14," - ")</f>
        <v>0.29296221416620177</v>
      </c>
      <c r="J14" s="400">
        <f>IF(ISNUMBER((Tasas!D14-Datos!BF14)/Datos!BF14),(Tasas!D14-Datos!BF14)/Datos!BF14," - ")</f>
        <v>-0.46766925457408109</v>
      </c>
      <c r="K14" s="403">
        <f>IF(ISNUMBER((Tasas!E14-Datos!BG14)/Datos!BG14),(Tasas!E14-Datos!BG14)/Datos!BG14," - ")</f>
        <v>0.21694817542742581</v>
      </c>
      <c r="M14" t="e">
        <f>IF(Monitorios="SI",Datos!CE14,0)</f>
        <v>#REF!</v>
      </c>
      <c r="N14" t="e">
        <f>IF(Monitorios="SI",Datos!CF14,0)</f>
        <v>#REF!</v>
      </c>
      <c r="O14" t="e">
        <f>IF(Monitorios="SI",Datos!CG14,0)</f>
        <v>#REF!</v>
      </c>
      <c r="P14" t="e">
        <f>IF(Monitorios="SI",Datos!CH14,0)</f>
        <v>#REF!</v>
      </c>
      <c r="Q14">
        <f>IF(J_V="SI",0,Datos!AG14)</f>
        <v>28</v>
      </c>
      <c r="R14">
        <f>IF(J_V="SI",0,Datos!AH14)</f>
        <v>13</v>
      </c>
      <c r="S14">
        <f>IF(J_V="SI",0,Datos!AI14)</f>
        <v>12</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5.057471264367816E-2</v>
      </c>
      <c r="E17" s="393">
        <f>IF(ISNUMBER(
   IF(D_I="SI",(Datos!J17-Datos!T17)/Datos!T17,(Datos!J17+Datos!AD17-(Datos!T17+Datos!AL17))/(Datos!T17+Datos!AL17))
     ),IF(D_I="SI",(Datos!J17-Datos!T17)/Datos!T17,(Datos!J17+Datos!AD17-(Datos!T17+Datos!AL17))/(Datos!T17+Datos!AL17))," - ")</f>
        <v>3.6231884057971015E-3</v>
      </c>
      <c r="F17" s="393">
        <f>IF(ISNUMBER(
   IF(D_I="SI",(Datos!K17-Datos!U17)/Datos!U17,(Datos!K17+Datos!AE17-(Datos!U17+Datos!AM17))/(Datos!U17+Datos!AM17))
     ),IF(D_I="SI",(Datos!K17-Datos!U17)/Datos!U17,(Datos!K17+Datos!AE17-(Datos!U17+Datos!AM17))/(Datos!U17+Datos!AM17))," - ")</f>
        <v>-0.22847682119205298</v>
      </c>
      <c r="G17" s="394">
        <f>IF(ISNUMBER(
   IF(D_I="SI",(Datos!L17-Datos!V17)/Datos!V17,(Datos!L17+Datos!AF17-(Datos!V17+Datos!AN17))/(Datos!V17+Datos!AN17))
     ),IF(D_I="SI",(Datos!L17-Datos!V17)/Datos!V17,(Datos!L17+Datos!AF17-(Datos!V17+Datos!AN17))/(Datos!V17+Datos!AN17))," - ")</f>
        <v>0.21980676328502416</v>
      </c>
      <c r="H17" s="244">
        <f>IF(ISNUMBER((Datos!M17-Datos!W17)/Datos!W17),(Datos!M17-Datos!W17)/Datos!W17," - ")</f>
        <v>0</v>
      </c>
      <c r="I17" s="395">
        <f>IF(ISNUMBER((Tasas!C17-Datos!BE17)/Datos!BE17),(Tasas!C17-Datos!BE17)/Datos!BE17," - ")</f>
        <v>0.58103709232651213</v>
      </c>
      <c r="J17" s="394">
        <f>IF(ISNUMBER((Tasas!D17-Datos!BF17)/Datos!BF17),(Tasas!D17-Datos!BF17)/Datos!BF17," - ")</f>
        <v>0.29613733905579387</v>
      </c>
      <c r="K17" s="396">
        <f>IF(ISNUMBER((Tasas!E17-Datos!BG17)/Datos!BG17),(Tasas!E17-Datos!BG17)/Datos!BG17," - ")</f>
        <v>0.33806583244297156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-0.2413793103448276</v>
      </c>
      <c r="E18" s="393">
        <f>IF(ISNUMBER(
   IF(D_I="SI",(Datos!J18-Datos!T18)/Datos!T18,(Datos!J18+Datos!AD18-(Datos!T18+Datos!AL18))/(Datos!T18+Datos!AL18))
     ),IF(D_I="SI",(Datos!J18-Datos!T18)/Datos!T18,(Datos!J18+Datos!AD18-(Datos!T18+Datos!AL18))/(Datos!T18+Datos!AL18))," - ")</f>
        <v>-0.12121212121212122</v>
      </c>
      <c r="F18" s="393">
        <f>IF(ISNUMBER(
   IF(D_I="SI",(Datos!K18-Datos!U18)/Datos!U18,(Datos!K18+Datos!AE18-(Datos!U18+Datos!AM18))/(Datos!U18+Datos!AM18))
     ),IF(D_I="SI",(Datos!K18-Datos!U18)/Datos!U18,(Datos!K18+Datos!AE18-(Datos!U18+Datos!AM18))/(Datos!U18+Datos!AM18))," - ")</f>
        <v>-0.4358974358974359</v>
      </c>
      <c r="G18" s="394">
        <f>IF(ISNUMBER(
   IF(D_I="SI",(Datos!L18-Datos!V18)/Datos!V18,(Datos!L18+Datos!AF18-(Datos!V18+Datos!AN18))/(Datos!V18+Datos!AN18))
     ),IF(D_I="SI",(Datos!L18-Datos!V18)/Datos!V18,(Datos!L18+Datos!AF18-(Datos!V18+Datos!AN18))/(Datos!V18+Datos!AN18))," - ")</f>
        <v>-3.7735849056603772E-2</v>
      </c>
      <c r="H18" s="244">
        <f>IF(ISNUMBER((Datos!M18-Datos!W18)/Datos!W18),(Datos!M18-Datos!W18)/Datos!W18," - ")</f>
        <v>1</v>
      </c>
      <c r="I18" s="395">
        <f>IF(ISNUMBER((Tasas!C18-Datos!BE18)/Datos!BE18),(Tasas!C18-Datos!BE18)/Datos!BE18," - ")</f>
        <v>0.70583190394511153</v>
      </c>
      <c r="J18" s="394">
        <f>IF(ISNUMBER((Tasas!D18-Datos!BF18)/Datos!BF18),(Tasas!D18-Datos!BF18)/Datos!BF18," - ")</f>
        <v>2.5454545454545459</v>
      </c>
      <c r="K18" s="396">
        <f>IF(ISNUMBER((Tasas!E18-Datos!BG18)/Datos!BG18),(Tasas!E18-Datos!BG18)/Datos!BG18," - ")</f>
        <v>0.42207792207792205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1.6227180527383367E-2</v>
      </c>
      <c r="E23" s="399">
        <f>IF(ISNUMBER(
   IF(D_I="SI",(Datos!J23-Datos!T23)/Datos!T23,(Datos!J23+Datos!AD23-(Datos!T23+Datos!AL23))/(Datos!T23+Datos!AL23))
     ),IF(D_I="SI",(Datos!J23-Datos!T23)/Datos!T23,(Datos!J23+Datos!AD23-(Datos!T23+Datos!AL23))/(Datos!T23+Datos!AL23))," - ")</f>
        <v>-9.7087378640776691E-3</v>
      </c>
      <c r="F23" s="399">
        <f>IF(ISNUMBER(
   IF(D_I="SI",(Datos!K23-Datos!U23)/Datos!U23,(Datos!K23+Datos!AE23-(Datos!U23+Datos!AM23))/(Datos!U23+Datos!AM23))
     ),IF(D_I="SI",(Datos!K23-Datos!U23)/Datos!U23,(Datos!K23+Datos!AE23-(Datos!U23+Datos!AM23))/(Datos!U23+Datos!AM23))," - ")</f>
        <v>-0.25219941348973607</v>
      </c>
      <c r="G23" s="400">
        <f>IF(ISNUMBER(
   IF(D_I="SI",(Datos!L23-Datos!V23)/Datos!V23,(Datos!L23+Datos!AF23-(Datos!V23+Datos!AN23))/(Datos!V23+Datos!AN23))
     ),IF(D_I="SI",(Datos!L23-Datos!V23)/Datos!V23,(Datos!L23+Datos!AF23-(Datos!V23+Datos!AN23))/(Datos!V23+Datos!AN23))," - ")</f>
        <v>0.19057815845824411</v>
      </c>
      <c r="H23" s="401">
        <f>IF(ISNUMBER((Datos!M23-Datos!W23)/Datos!W23),(Datos!M23-Datos!W23)/Datos!W23," - ")</f>
        <v>2.564102564102564E-2</v>
      </c>
      <c r="I23" s="402">
        <f>IF(ISNUMBER((Tasas!C23-Datos!BE23)/Datos!BE23),(Tasas!C23-Datos!BE23)/Datos!BE23," - ")</f>
        <v>0.59210647856573029</v>
      </c>
      <c r="J23" s="400">
        <f>IF(ISNUMBER((Tasas!D23-Datos!BF23)/Datos!BF23),(Tasas!D23-Datos!BF23)/Datos!BF23," - ")</f>
        <v>0.37154348919054803</v>
      </c>
      <c r="K23" s="403">
        <f>IF(ISNUMBER((Tasas!E23-Datos!BG23)/Datos!BG23),(Tasas!E23-Datos!BG23)/Datos!BG23," - ")</f>
        <v>0.3455919025964499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4.780114722753346E-2</v>
      </c>
      <c r="E31" s="409">
        <f>IF(ISNUMBER(
   IF(J_V="SI",(Datos!J31-Datos!T31)/Datos!T31,(Datos!J31+Datos!Z31-(Datos!T31+Datos!AH31))/(Datos!T31+Datos!AH31))
     ),IF(J_V="SI",(Datos!J31-Datos!T31)/Datos!T31,(Datos!J31+Datos!Z31-(Datos!T31+Datos!AH31))/(Datos!T31+Datos!AH31))," - ")</f>
        <v>5.007587253414264E-2</v>
      </c>
      <c r="F31" s="409">
        <f>IF(ISNUMBER(
   IF(J_V="SI",(Datos!K31-Datos!U31)/Datos!U31,(Datos!K31+Datos!AA31-(Datos!U31+Datos!AI31))/(Datos!U31+Datos!AI31))
     ),IF(J_V="SI",(Datos!K31-Datos!U31)/Datos!U31,(Datos!K31+Datos!AA31-(Datos!U31+Datos!AI31))/(Datos!U31+Datos!AI31))," - ")</f>
        <v>-0.18284106891701829</v>
      </c>
      <c r="G31" s="410">
        <f>IF(ISNUMBER(
   IF(J_V="SI",(Datos!L31-Datos!V31)/Datos!V31,(Datos!L31+Datos!AB31-(Datos!V31+Datos!AJ31))/(Datos!V31+Datos!AJ31))
     ),IF(J_V="SI",(Datos!L31-Datos!V31)/Datos!V31,(Datos!L31+Datos!AB31-(Datos!V31+Datos!AJ31))/(Datos!V31+Datos!AJ31))," - ")</f>
        <v>0.15495732107682206</v>
      </c>
      <c r="H31" s="411">
        <f>IF(ISNUMBER((Datos!M31-Datos!W31)/Datos!W31),(Datos!M31-Datos!W31)/Datos!W31," - ")</f>
        <v>-0.21848739495798319</v>
      </c>
      <c r="I31" s="408">
        <f>IF(ISNUMBER((Tasas!C31-Datos!BE31)/Datos!BE31),(Tasas!C31-Datos!BE31)/Datos!BE31," - ")</f>
        <v>0.41338150651569794</v>
      </c>
      <c r="J31" s="409">
        <f>IF(ISNUMBER((Tasas!D31-Datos!BF31)/Datos!BF31),(Tasas!D31-Datos!BF31)/Datos!BF31," - ")</f>
        <v>-0.25125690732856237</v>
      </c>
      <c r="K31" s="410">
        <f>IF(ISNUMBER((Tasas!E31-Datos!BG31)/Datos!BG31),(Tasas!E31-Datos!BG31)/Datos!BG31," - ")</f>
        <v>0.28307227370626392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0.24009858607194123</v>
      </c>
      <c r="E33" s="303">
        <f t="shared" si="1"/>
        <v>0.23553072942240555</v>
      </c>
      <c r="F33" s="303">
        <f t="shared" si="1"/>
        <v>0.11125408090500347</v>
      </c>
      <c r="G33" s="304">
        <f t="shared" si="1"/>
        <v>0.3326682417961902</v>
      </c>
      <c r="H33" s="310">
        <f t="shared" si="1"/>
        <v>0.65527268311488118</v>
      </c>
      <c r="I33" s="302">
        <f t="shared" si="1"/>
        <v>0.30381063572806377</v>
      </c>
      <c r="J33" s="303">
        <f t="shared" si="1"/>
        <v>1.2534534819539875</v>
      </c>
      <c r="K33" s="304">
        <f t="shared" si="1"/>
        <v>0.17505068185772715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aF22VjtfgZbqidMT2mNEBcZoUP+jIvRfUXXGXrNMRFjfkenyxJYSJRlHASTmCW1ro7cPe+rsiHzOHd2MHOKXg==" saltValue="FZ0cDdjm7aMe+Q9+Sl2B2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